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1040"/>
  </bookViews>
  <sheets>
    <sheet name="Aba Carregamento" sheetId="1" r:id="rId1"/>
    <sheet name="Insumos" sheetId="2" r:id="rId2"/>
    <sheet name="Qtd postos 20%" sheetId="3" r:id="rId3"/>
    <sheet name="Qtd postos 40%" sheetId="4" r:id="rId4"/>
    <sheet name="Valor posto 20%" sheetId="5" r:id="rId5"/>
    <sheet name="Valor posto 40%" sheetId="6" r:id="rId6"/>
    <sheet name="Encarregado 40%" sheetId="7" r:id="rId7"/>
    <sheet name="Resumo da Proposta" sheetId="8" r:id="rId8"/>
  </sheets>
  <externalReferences>
    <externalReference r:id="rId9"/>
  </externalReferences>
  <definedNames>
    <definedName name="_xlnm.Print_Area" localSheetId="0">'Aba Carregamento'!$A$20:$F$41</definedName>
    <definedName name="_xlnm.Print_Area" localSheetId="1">Insumos!$A$1:$H$124</definedName>
    <definedName name="_xlnm.Print_Area" localSheetId="2">'Qtd postos 20%'!$A$1:$P$23</definedName>
    <definedName name="_xlnm.Print_Area" localSheetId="3">'Qtd postos 40%'!$A$1:$P$24</definedName>
    <definedName name="_xlnm.Print_Area" localSheetId="7">'Resumo da Proposta'!$C$1:$H$38</definedName>
    <definedName name="_xlnm.Print_Area" localSheetId="4">'Valor posto 20%'!$A$305:$J$336</definedName>
    <definedName name="_xlnm.Print_Area" localSheetId="5">'Valor posto 40%'!$A$1:$J$355</definedName>
    <definedName name="Excel_BuiltIn_Print_Area" localSheetId="4">#REF!</definedName>
    <definedName name="Excel_BuiltIn_Print_Area" localSheetId="5">#REF!</definedName>
  </definedNames>
  <calcPr calcId="144525"/>
</workbook>
</file>

<file path=xl/sharedStrings.xml><?xml version="1.0" encoding="utf-8"?>
<sst xmlns="http://schemas.openxmlformats.org/spreadsheetml/2006/main" count="615">
  <si>
    <t>Ministério da Educação</t>
  </si>
  <si>
    <t>Secretaria de Educação Tecnológica</t>
  </si>
  <si>
    <t>Instituto Federal de Educação, Ciência e Tecnologia do Rio Grande do Sul - IFRS</t>
  </si>
  <si>
    <t>Campus Porto Alegre</t>
  </si>
  <si>
    <t>DADOS DA LICITAÇÃO</t>
  </si>
  <si>
    <t>Descrição do serviço:</t>
  </si>
  <si>
    <t>Serviços de Limpeza e Conservação, 44h/semanal, de segunda a sábado</t>
  </si>
  <si>
    <t>Processo:</t>
  </si>
  <si>
    <t>Licitação:</t>
  </si>
  <si>
    <t>Município/UF da prestação do serviço:</t>
  </si>
  <si>
    <t>Porto Alegre/ RS</t>
  </si>
  <si>
    <t>Dia/Hora:</t>
  </si>
  <si>
    <t>Razão Social:</t>
  </si>
  <si>
    <t>CNPJ:</t>
  </si>
  <si>
    <t>Responsável pela Empresa:</t>
  </si>
  <si>
    <t>CPF do Responsável:</t>
  </si>
  <si>
    <t>Cargo ou Função:</t>
  </si>
  <si>
    <t>PRODUTIVIDADES</t>
  </si>
  <si>
    <t>POSTOS SEM BANHEIRO. INSALUBRIDADE 20%</t>
  </si>
  <si>
    <t>TIPO DE ÁREA</t>
  </si>
  <si>
    <t>TIPO DE PISO</t>
  </si>
  <si>
    <r>
      <rPr>
        <b/>
        <sz val="10"/>
        <rFont val="Arial"/>
        <charset val="134"/>
      </rPr>
      <t>PRODUTIVIDADE</t>
    </r>
    <r>
      <rPr>
        <sz val="10"/>
        <rFont val="Arial"/>
        <charset val="134"/>
      </rPr>
      <t xml:space="preserve">                        (m² / serv x mês)     Cfe jornada de trab</t>
    </r>
  </si>
  <si>
    <r>
      <rPr>
        <b/>
        <sz val="10"/>
        <rFont val="Arial"/>
        <charset val="134"/>
      </rPr>
      <t>ÁREA</t>
    </r>
    <r>
      <rPr>
        <sz val="10"/>
        <rFont val="Arial"/>
        <charset val="134"/>
      </rPr>
      <t xml:space="preserve"> (m²)                         a ser contratada</t>
    </r>
  </si>
  <si>
    <t>ÁREAS INTERNAS</t>
  </si>
  <si>
    <t>pisos acarpetados</t>
  </si>
  <si>
    <t>pisos frios</t>
  </si>
  <si>
    <t>*</t>
  </si>
  <si>
    <t>laboratórios</t>
  </si>
  <si>
    <t>pisos vinílicos</t>
  </si>
  <si>
    <t>banheiros</t>
  </si>
  <si>
    <t>áreas com espaços livres - saguão, hall e salão</t>
  </si>
  <si>
    <t>ÁREAS EXTERNAS</t>
  </si>
  <si>
    <t>pisos pavimentados adjacentes/contíguos às edificações</t>
  </si>
  <si>
    <t>varrição de passeios e arruamentos</t>
  </si>
  <si>
    <t>pátios e áreas verdes com alta frequência</t>
  </si>
  <si>
    <t>pátios e áreas verdes com média frequência</t>
  </si>
  <si>
    <t>pátios e áreas verdes com baixa frequência</t>
  </si>
  <si>
    <t>coleta de detritos em pátios e áreas verdes com frequência diária</t>
  </si>
  <si>
    <t>ESQUADRIAS EXTERNAS</t>
  </si>
  <si>
    <r>
      <rPr>
        <sz val="10"/>
        <rFont val="Arial"/>
        <charset val="134"/>
      </rPr>
      <t xml:space="preserve">face externa </t>
    </r>
    <r>
      <rPr>
        <b/>
        <sz val="10"/>
        <color rgb="FFFF0000"/>
        <rFont val="Arial"/>
        <charset val="134"/>
      </rPr>
      <t>com</t>
    </r>
    <r>
      <rPr>
        <sz val="10"/>
        <color theme="1"/>
        <rFont val="Arial"/>
        <charset val="134"/>
      </rPr>
      <t xml:space="preserve"> exposição a situação de risco</t>
    </r>
  </si>
  <si>
    <r>
      <rPr>
        <sz val="10"/>
        <rFont val="Arial"/>
        <charset val="134"/>
      </rPr>
      <t xml:space="preserve">face externa </t>
    </r>
    <r>
      <rPr>
        <b/>
        <sz val="10"/>
        <color rgb="FFFF0000"/>
        <rFont val="Arial"/>
        <charset val="134"/>
      </rPr>
      <t>sem</t>
    </r>
    <r>
      <rPr>
        <b/>
        <sz val="10"/>
        <rFont val="Arial"/>
        <charset val="134"/>
      </rPr>
      <t xml:space="preserve"> </t>
    </r>
    <r>
      <rPr>
        <sz val="10"/>
        <color theme="1"/>
        <rFont val="Arial"/>
        <charset val="134"/>
      </rPr>
      <t>exposição a situação de risco</t>
    </r>
  </si>
  <si>
    <t>face interna</t>
  </si>
  <si>
    <t>FACHADAS ENVIDRAÇADAS</t>
  </si>
  <si>
    <t>fachadas envidraçadas</t>
  </si>
  <si>
    <t>ÁREAS HOSPITALARES E ASSEMELHADAS</t>
  </si>
  <si>
    <t>áreas hospitalares e assemelhadas</t>
  </si>
  <si>
    <t>POSTOS COM BANHEIRO. INSALUBRIDADE 40%</t>
  </si>
  <si>
    <t>almoxarifados/ galpões</t>
  </si>
  <si>
    <t>oficinas</t>
  </si>
  <si>
    <r>
      <rPr>
        <b/>
        <u/>
        <sz val="10"/>
        <rFont val="Arial"/>
        <charset val="134"/>
      </rPr>
      <t>NOTA</t>
    </r>
    <r>
      <rPr>
        <sz val="10"/>
        <rFont val="Arial"/>
        <charset val="134"/>
      </rPr>
      <t>: As Produtividades acima são as máximas divulgadas no caderno de encargos do MPOG. Caso o licitante apresente produtividade superior, deverá comprovar, de forma inequívoca e documental, a sua produtividade e a sua capacidade de execução do serviço.</t>
    </r>
  </si>
  <si>
    <t>REGIME DE TRIBUTAÇÃO DA EMPRESA</t>
  </si>
  <si>
    <t>Lucro Presumido</t>
  </si>
  <si>
    <t>Lucro Real</t>
  </si>
  <si>
    <t>x</t>
  </si>
  <si>
    <t>INFORMAÇÕES DA CCT</t>
  </si>
  <si>
    <t>Dados/registro CCT</t>
  </si>
  <si>
    <t>RS 000092/2019</t>
  </si>
  <si>
    <t>Data base</t>
  </si>
  <si>
    <t>Salário base da categoria (220 h)</t>
  </si>
  <si>
    <t>* CBO 5143. Serv de limpeza</t>
  </si>
  <si>
    <t>Módulo 1: REMUNERAÇÃO</t>
  </si>
  <si>
    <t>Jornada MENSAL contratada (h)</t>
  </si>
  <si>
    <t>Jornada SEMANAL contratada (h)</t>
  </si>
  <si>
    <t>Jornada DIÁRIA contratada (h)</t>
  </si>
  <si>
    <t>MÓDULO 2: ENCARGOS E BENEFÍCIOS</t>
  </si>
  <si>
    <t>RAT</t>
  </si>
  <si>
    <t>(Comprovação será efetivada na aceitação da proposta)</t>
  </si>
  <si>
    <t>FAP</t>
  </si>
  <si>
    <t>Auxílio alimentação/dia</t>
  </si>
  <si>
    <t>Desconto do empregado</t>
  </si>
  <si>
    <t>Qtd dias/mês recebimento aux. alim</t>
  </si>
  <si>
    <t>Valor unit. da passagem</t>
  </si>
  <si>
    <t>Quantid. passagens/dia</t>
  </si>
  <si>
    <t>Qtd dias/mês receb. aux. transp</t>
  </si>
  <si>
    <t>PBF (Plano Benef. Social Fam)</t>
  </si>
  <si>
    <t>MÓDULO 6: CUSTOS INDIRETOS, LUCRO E TRIBUTOS</t>
  </si>
  <si>
    <t>Empregado</t>
  </si>
  <si>
    <t>Insalub. 20%</t>
  </si>
  <si>
    <t>Insalub. 40%</t>
  </si>
  <si>
    <t>Custos indiretos</t>
  </si>
  <si>
    <t>Lucro</t>
  </si>
  <si>
    <t>ISSQN</t>
  </si>
  <si>
    <t>INSUMOS DIVERSOS</t>
  </si>
  <si>
    <t>INFORMAR O TOTAL NECESSÁRIO. ÁREAS COM E SEM BANHEIRO</t>
  </si>
  <si>
    <t>MATERIAIS DE LIMPEZA - SANEANTES DOMISSANITÁRIOS
Disponibilidade mensal</t>
  </si>
  <si>
    <t>Unidade</t>
  </si>
  <si>
    <t>Quantidade Mensal</t>
  </si>
  <si>
    <t>Quantidade Anual</t>
  </si>
  <si>
    <t>Valor Unitário</t>
  </si>
  <si>
    <t>Custo Anual</t>
  </si>
  <si>
    <t>Álcool líquido 70º. Embalagem de 1 litro.</t>
  </si>
  <si>
    <t>litro</t>
  </si>
  <si>
    <t>Álcool líquido 46º. Embalagem de 1 litro.</t>
  </si>
  <si>
    <t>Álcool líquido 92º. Embalagem de 1 litro.</t>
  </si>
  <si>
    <t>Alvejante sanitário. Bombona de 5 litros.</t>
  </si>
  <si>
    <t>galão</t>
  </si>
  <si>
    <t>Cera líquida incolor. Bombona de 5 litros.</t>
  </si>
  <si>
    <t>Removedor de cera. Bombona 5 litros.</t>
  </si>
  <si>
    <t>Lustra móveis. Embalagem 500 ml.</t>
  </si>
  <si>
    <t>500 ml</t>
  </si>
  <si>
    <t>Desinfetante líquido aromatizado. Bombona de 5 litros.</t>
  </si>
  <si>
    <t>Detergente líquido neutro. Embalagem 500 ml.</t>
  </si>
  <si>
    <t>Detergente multiuso a ser usado em fórmicas, paredes e divisórias. Bombona de 5 litros.</t>
  </si>
  <si>
    <t>Saponáceo líquido. Embalagem de 500 ml.</t>
  </si>
  <si>
    <t>Esponja dupla face para limpeza. Cores diversas.</t>
  </si>
  <si>
    <t>unidade</t>
  </si>
  <si>
    <t>Fibra de limpeza de uso geral (fribaço). Pacote com 5 unidades.</t>
  </si>
  <si>
    <t>pacote 5 unidades</t>
  </si>
  <si>
    <t>Flanela para limpeza de algodão. Cores diversas.</t>
  </si>
  <si>
    <t xml:space="preserve">Pano de limpeza multiuso com agente bactericida. Bobina de 300 m. Cores diversas. </t>
  </si>
  <si>
    <t>Saco alvejado para limpeza – tamanho 50cmx70cm liso.</t>
  </si>
  <si>
    <t>Refil mop algodão compatível com o cabo.</t>
  </si>
  <si>
    <t>Limpa vidros. Frasco de 500 ml.</t>
  </si>
  <si>
    <t>Odorizador de ambiente. Frasco de 360 ml.</t>
  </si>
  <si>
    <t>360 ml</t>
  </si>
  <si>
    <t>Sabão líquido, embalagem de 5 litros, padrão de qualidade OMO.</t>
  </si>
  <si>
    <t>Sabonete líquido antisséptico de uso exclusivo em cozinhas industriais e refeitórios conforme norma da ANVISA. PH neutro sem perfume. Bombona 5 liltros.</t>
  </si>
  <si>
    <t>Luva para procedimento não cirúrgico, material látex, natural, integro e uniforme. Características adicionais: lubrificada com pó bioabsorvivel, descartável, apresentação atóxica, tipo ambidestra. Tamanhos diversos.
Caixa 100 unidades.</t>
  </si>
  <si>
    <t>caixa</t>
  </si>
  <si>
    <t>Fósforo, caixa com 300 unidades.</t>
  </si>
  <si>
    <t>Touca sanfonada descartável, com elástico duplo. Caixa com 100 unidades.</t>
  </si>
  <si>
    <t>Saco para lixo - 100 litros - Azul - pacote com 100 unidades</t>
  </si>
  <si>
    <t>pacote</t>
  </si>
  <si>
    <t>Saco para lixo -100 litros - Preto - pacote com 100 unidades</t>
  </si>
  <si>
    <t>Saco para lixo - 20 litros - Azul - pacote com 100 unidades</t>
  </si>
  <si>
    <t>Saco para lixo - 20 litros - Preto - pacote com 100 unidades</t>
  </si>
  <si>
    <t>Grafite em pó, frasco 25 g.</t>
  </si>
  <si>
    <t>frasco</t>
  </si>
  <si>
    <t>Detergente não espumante para máquina de lavar pisos.  Bombona 5 litros.</t>
  </si>
  <si>
    <t>CUSTO ANUAL DOS SANEANTES DOMISSANITÁRIOS</t>
  </si>
  <si>
    <t>CUSTO MENSAL DOS SANEANTES DOMISSANITÁRIOS</t>
  </si>
  <si>
    <r>
      <rPr>
        <b/>
        <sz val="10"/>
        <color rgb="FF000080"/>
        <rFont val="Arial"/>
        <charset val="134"/>
      </rPr>
      <t xml:space="preserve">Materiais de Limpeza/higiene – </t>
    </r>
    <r>
      <rPr>
        <b/>
        <sz val="15"/>
        <color rgb="FF000080"/>
        <rFont val="Arial"/>
        <charset val="134"/>
      </rPr>
      <t>COMPLEMENTARES COM REPOSIÇÃO</t>
    </r>
  </si>
  <si>
    <t>Papel higiênico branco com 30m cada rolo. Compatível com dispenser</t>
  </si>
  <si>
    <t>Fardo 64 rolos</t>
  </si>
  <si>
    <t>Papel higiênico rolão com 300m x 10cm. Compatível com dispenser.</t>
  </si>
  <si>
    <t>Fardo 8 rolos</t>
  </si>
  <si>
    <t>Papel toalha branco, interfolhas, pacote com 1250folhas de 22,5 x 26cm. Compatível com dispenser.</t>
  </si>
  <si>
    <t>Pacote 1.250 folhas</t>
  </si>
  <si>
    <t>Sabonete líquido. Bombona com 5 litros.</t>
  </si>
  <si>
    <t>CUSTO ANUAL DOS MATERIAIS DE LIMPEZA – COMPLEMENTARES</t>
  </si>
  <si>
    <t>CUSTO MENSAL DOS  MATERIAIS DE LIMPEZA – COMPLEMENTARES</t>
  </si>
  <si>
    <r>
      <rPr>
        <b/>
        <sz val="15"/>
        <color rgb="FF000080"/>
        <rFont val="Arial"/>
        <charset val="134"/>
      </rPr>
      <t xml:space="preserve">MATERIAIS COMPLEMENTARES – UTENSÍLIOS
</t>
    </r>
    <r>
      <rPr>
        <b/>
        <sz val="10"/>
        <color rgb="FF000080"/>
        <rFont val="Arial"/>
        <charset val="134"/>
      </rPr>
      <t>Disponibilidade no início do contrato com reposição quando precisar</t>
    </r>
  </si>
  <si>
    <t>Quantidade a disponibilizar</t>
  </si>
  <si>
    <t>Vida Útil   (em meses)</t>
  </si>
  <si>
    <t>Escova para sanitário</t>
  </si>
  <si>
    <t xml:space="preserve">unidade </t>
  </si>
  <si>
    <t>Balde plástico 15 litros</t>
  </si>
  <si>
    <r>
      <rPr>
        <sz val="10"/>
        <color rgb="FF000000"/>
        <rFont val="Arial"/>
        <charset val="134"/>
      </rPr>
      <t>B</t>
    </r>
    <r>
      <rPr>
        <sz val="10"/>
        <color theme="1"/>
        <rFont val="Arial"/>
        <charset val="134"/>
      </rPr>
      <t>alde com rodízio e espremedor, </t>
    </r>
    <r>
      <rPr>
        <sz val="10"/>
        <rFont val="Arial"/>
        <charset val="134"/>
      </rPr>
      <t>30 litros</t>
    </r>
  </si>
  <si>
    <t>Mangueira plástica ¾ com 25m e adaptadores</t>
  </si>
  <si>
    <t>Mangueira plástica ¾ com 50m e adaptadores</t>
  </si>
  <si>
    <t>Pá de recolhimento de lixo com cabo longo</t>
  </si>
  <si>
    <t>Desentupidor de pia</t>
  </si>
  <si>
    <t>Placa sinalizadora: "Cuidado, piso molhado"</t>
  </si>
  <si>
    <t>Vassoura de nylon c/ cabo longo – 120 cm - unidade padrão de qualidade BETANIN</t>
  </si>
  <si>
    <t>Vasculhador para teto / vassoura limpa teto tipo girafa com cabo </t>
  </si>
  <si>
    <t>Rodo de madeira com espuma 30 cm com cabo de madeira 120 cm</t>
  </si>
  <si>
    <t>Rodo 48 cm</t>
  </si>
  <si>
    <t>Ácido cloridrico- popular limpeza de pedra, bombona de 5 litros</t>
  </si>
  <si>
    <t>Extensão elétrica com cabo pp 3x2,5mm com 70 m de comprimento.</t>
  </si>
  <si>
    <t>Desentupidor tufão de 25 m</t>
  </si>
  <si>
    <t>Desentupidor tufão de 5 m</t>
  </si>
  <si>
    <t>Dispenser para papel toalha</t>
  </si>
  <si>
    <t>Dispenser para papel higiênico</t>
  </si>
  <si>
    <t>Dispenser para sabonete líquido</t>
  </si>
  <si>
    <t>Dispenser para álcool gel</t>
  </si>
  <si>
    <t>Filtro do bebedouro (diversos modelos)</t>
  </si>
  <si>
    <t xml:space="preserve">CUSTO ANUAL DOS UTENSÍLIOS </t>
  </si>
  <si>
    <t xml:space="preserve">CUSTO MENSAL DOS UTENSÍLIOS </t>
  </si>
  <si>
    <t>EQUIPAMENTOS</t>
  </si>
  <si>
    <t>Depreciação (em meses)</t>
  </si>
  <si>
    <t>Escada em Alumínio com 8 degraus</t>
  </si>
  <si>
    <t>Escada em Alumínio com 3 degraus</t>
  </si>
  <si>
    <t>Kit completo - limpeza de vidro</t>
  </si>
  <si>
    <t>Lavador de alta pressão profissional 2000Psi</t>
  </si>
  <si>
    <t>Máquina de lavar – tanquinho</t>
  </si>
  <si>
    <t>Máquina de secar roupas</t>
  </si>
  <si>
    <t>Carrinho de limpeza, com mop completo</t>
  </si>
  <si>
    <t>Relógio ponto</t>
  </si>
  <si>
    <t>Roçadeira (para os contornos e acabamentos)</t>
  </si>
  <si>
    <t>Lavadora e secadora de pisos tripulada para a limpeza do Átrio e Corredores, com desempenho equivalente a 10 pessoas na operação. Modelo de referência: Kärcher BD 50/70.</t>
  </si>
  <si>
    <t>Lavadora e secadora de pisos para a limpeza de salas e biblioteca, com desempenho equivalente a 8 pessoas na operação. Modelo de referência: Kärcher BR 38/12.</t>
  </si>
  <si>
    <t>Aspirador para a limpeza de janelas, espelhos, superfícies lisas e de vidro, com inovador sistema de sucção de água. Modelo de referência: Kärcher WVP 10.</t>
  </si>
  <si>
    <t>Extratora que permite pulverizar, escovar e aspirar em uma única passagem. Modelo de referência: Kärcher Puzzi 10/2.</t>
  </si>
  <si>
    <t>Aspirador de pó portátil</t>
  </si>
  <si>
    <t>Software  para o gerenciamento de informações de usuários e comunicação entre gerentes de instalações, funcionários e equipes de manutenção</t>
  </si>
  <si>
    <t xml:space="preserve">CUSTO ANUAL DOS EQUIPAMENTOS </t>
  </si>
  <si>
    <t xml:space="preserve">CUSTO MENSAL DOS EQUIPAMENTOS </t>
  </si>
  <si>
    <t>UNIFORMES E EPI'S</t>
  </si>
  <si>
    <t>Calça brim operacional</t>
  </si>
  <si>
    <t>peça</t>
  </si>
  <si>
    <t>Camiseta de algodão</t>
  </si>
  <si>
    <t>Calçado fechado de segurança, impermeável e antiderrapante</t>
  </si>
  <si>
    <t>par</t>
  </si>
  <si>
    <t>Jaqueta forrada</t>
  </si>
  <si>
    <t>Blusa de frio</t>
  </si>
  <si>
    <t>Bota de borracha cano médio</t>
  </si>
  <si>
    <t>Avental de PVC impermeável</t>
  </si>
  <si>
    <t>Capa de chuva</t>
  </si>
  <si>
    <t>Luva de látex forrada com palma antiderrapante</t>
  </si>
  <si>
    <t xml:space="preserve">par </t>
  </si>
  <si>
    <t>Luva de látex cano longo</t>
  </si>
  <si>
    <t>Máscara Descartável para pó</t>
  </si>
  <si>
    <t>Óculos de Proteção</t>
  </si>
  <si>
    <t>Protetor auricular</t>
  </si>
  <si>
    <t>CUSTO ANUAL DOS UNIFORMES PARA 1 SERVENTE</t>
  </si>
  <si>
    <t>CUSTO MENSAL DOS UNIFORMES PARA 1 SERVENTE</t>
  </si>
  <si>
    <t>QUADRO RESUMO</t>
  </si>
  <si>
    <t>CUSTO ANUAL</t>
  </si>
  <si>
    <t>CUSTO MENSAL</t>
  </si>
  <si>
    <t>Custo Mensal por SERVENTE</t>
  </si>
  <si>
    <t xml:space="preserve">Materiais de Limpeza – SANEANTES DOMISSANITÁRIOS </t>
  </si>
  <si>
    <t>Materiais de Limpeza – COMPLEMENTARES</t>
  </si>
  <si>
    <t>Materiais de Limpeza – UTENSÍLIOS</t>
  </si>
  <si>
    <t>MATERIAIS</t>
  </si>
  <si>
    <t>UNIFORMES</t>
  </si>
  <si>
    <t>TOTAIS</t>
  </si>
  <si>
    <r>
      <rPr>
        <b/>
        <sz val="10"/>
        <color indexed="18"/>
        <rFont val="Arial"/>
        <charset val="134"/>
      </rPr>
      <t xml:space="preserve">Quantidade da mão de obra alocada na prestação dos serviços (informação oriunda da aba 'Qtd de postos').                                               </t>
    </r>
    <r>
      <rPr>
        <b/>
        <sz val="10"/>
        <color rgb="FFFF0000"/>
        <rFont val="Arial"/>
        <charset val="134"/>
      </rPr>
      <t>TOTAL DE TODOS OS POSTOS (20% + 40%)</t>
    </r>
  </si>
  <si>
    <t>OBS (1): os custos totais com materiais e equipamentos são fixos, qualquer que seja a produtividade adotada pois são fixados em função da área a ser limpa e conservada e não dependem do quantitativo de mão de obra utilizada.</t>
  </si>
  <si>
    <t xml:space="preserve">OBS (2): os custos totais com uniformes dependem do número de serventes, o qual varia de acordo com a produtividade adotada. </t>
  </si>
  <si>
    <t>OBS (3): a vida útil, os quantitativos e os preços dos insumos são apenas uma simulação feita para fins didáticos, sem o caráter de estudo técnico ou qualquer métrica, portanto não devem ser copiados, mas sim ajustados à realidade de cada contrato.</t>
  </si>
  <si>
    <t>QUANTIDADE DE POSTOS. SEM BANHEIRO. 20% INSALUBRIDADE</t>
  </si>
  <si>
    <t>tipo de piso</t>
  </si>
  <si>
    <t>produtividade (m² /             serv x mês)    Cfe jornada de trab</t>
  </si>
  <si>
    <t xml:space="preserve">área (m²) a ser contratada </t>
  </si>
  <si>
    <t>(1)                  número de empregados necessários para a execução da tarefa</t>
  </si>
  <si>
    <t xml:space="preserve">(2)                             exclusão dos empregados que cumprem integralmente a jornada diária  </t>
  </si>
  <si>
    <t>(3) empregado que cumprirá jornada diária menor</t>
  </si>
  <si>
    <t>(4)                   jornada diária em minutos do empregado que completará a execução da tarefa</t>
  </si>
  <si>
    <t>(5) Número de empregados que a contratada deverá alocar para a prestação dos serviços</t>
  </si>
  <si>
    <t>empregados com jornada diária de</t>
  </si>
  <si>
    <t xml:space="preserve">horas e mais </t>
  </si>
  <si>
    <t>empregado com jornada diária de</t>
  </si>
  <si>
    <t>minutos.</t>
  </si>
  <si>
    <t>TOTAL (TODAS AS ÁREAS NO MESMO PRÉDIO)</t>
  </si>
  <si>
    <t>Aproximadamente 
2,43 horas</t>
  </si>
  <si>
    <t>JORNADA DIÁRIA (HORAS)</t>
  </si>
  <si>
    <t>horas</t>
  </si>
  <si>
    <t>NÚMERO TOTAL DE SERVENTES EM JORNADA DE 8 HORAS</t>
  </si>
  <si>
    <t>Cálculo total do nº de serventes = (preço mensal dos serviços / valor do homem-mês) = R$ ----------- / ---------- = 10,36 = -------</t>
  </si>
  <si>
    <t>Notas Explicativas:</t>
  </si>
  <si>
    <t>1) coluna (5) - número de empregados necessários para a execução da tarefa: cada número inteiro significa um empregado. Quando há fração significa que além dos empregados que cumprem integralmente a jornada diária contratada, é necessário empregado com jornada diária menor.</t>
  </si>
  <si>
    <r>
      <rPr>
        <sz val="14"/>
        <rFont val="Arial"/>
        <charset val="134"/>
      </rPr>
      <t xml:space="preserve">3) A produtividade da </t>
    </r>
    <r>
      <rPr>
        <b/>
        <sz val="14"/>
        <rFont val="Arial"/>
        <charset val="134"/>
      </rPr>
      <t>esquadria externa</t>
    </r>
    <r>
      <rPr>
        <sz val="14"/>
        <rFont val="Arial"/>
        <charset val="134"/>
      </rPr>
      <t xml:space="preserve"> deve ser calculada considerando a metodologia de trabalho que, no Anexo VII-D da IN 5/17 que prevê incidência </t>
    </r>
    <r>
      <rPr>
        <b/>
        <sz val="14"/>
        <rFont val="Arial"/>
        <charset val="134"/>
      </rPr>
      <t>quinzenal</t>
    </r>
    <r>
      <rPr>
        <sz val="14"/>
        <rFont val="Arial"/>
        <charset val="134"/>
      </rPr>
      <t xml:space="preserve"> para a limpeza desse tipo de área. </t>
    </r>
  </si>
  <si>
    <r>
      <rPr>
        <sz val="14"/>
        <rFont val="Arial"/>
        <charset val="134"/>
      </rPr>
      <t xml:space="preserve">4) A produtividade da </t>
    </r>
    <r>
      <rPr>
        <b/>
        <sz val="14"/>
        <rFont val="Arial"/>
        <charset val="134"/>
      </rPr>
      <t>fachada envidraçada</t>
    </r>
    <r>
      <rPr>
        <sz val="14"/>
        <rFont val="Arial"/>
        <charset val="134"/>
      </rPr>
      <t xml:space="preserve"> deve ser calculada considerando a metodologia de trabalho que, no Anexo VII-D da IN 5/17 que prevê incidência </t>
    </r>
    <r>
      <rPr>
        <b/>
        <sz val="14"/>
        <rFont val="Arial"/>
        <charset val="134"/>
      </rPr>
      <t>semestral</t>
    </r>
    <r>
      <rPr>
        <sz val="14"/>
        <rFont val="Arial"/>
        <charset val="134"/>
      </rPr>
      <t xml:space="preserve"> para a limpeza desse tipo de área. </t>
    </r>
  </si>
  <si>
    <t>Observações:</t>
  </si>
  <si>
    <t>Deve ser preenchida uma planilha para cada local de prestação de serviços (ISSQN, VT, VA, Insalubridade/periculosidade e horários poderão ser diferenciados, além da quantidade de serventes)</t>
  </si>
  <si>
    <t>Preencher somente as células das seguintes colunas: C (produtividade) e D (área)</t>
  </si>
  <si>
    <t xml:space="preserve">Se as áreas se localizarem em prédios/locais diferentes, cada linha trará o seu próprio totalizador. </t>
  </si>
  <si>
    <t xml:space="preserve"> Em destaque  o número de empregados que a contratada deve disponibilizar para a prestação dos serviços tarefa a tarefa, em cada tipo de área, com suas respectivas jornadas diárias.</t>
  </si>
  <si>
    <t xml:space="preserve">Área Interna 1ª linha - Metodologia - Coluna 5 = (2.000 / 800) = 2,5 empregados                                               Coluna 8 = 0,5 x 8 horas x 60 minutos = 240 minutos </t>
  </si>
  <si>
    <t>Esquadrias Externas 1ª linha - Metodologia - Coluna 5 = (100/130)*(16/188,76) = 0,06520286 empregados             Coluna 8 = 0,06520286 x 8 horas x 60 minutos = 31,2973739547 minutos (deveria ser semestral e não quinzenal)</t>
  </si>
  <si>
    <t xml:space="preserve">Fachadas Envidraçadas - Metodologia - Coluna 5 = (70/130)*(8/1132,6) =  0,003803366      Coluna 8 = 0,003803366  x 8 horas x 60 minutos = 1,8256156699 minutos </t>
  </si>
  <si>
    <t>Cálculo total do nº de serventes = (preço mensal dos serviços / valor do homem-mês)</t>
  </si>
  <si>
    <t xml:space="preserve">Planilha desenvolvida por Diógenes Felipe Fuques Carvalho (DRF-Santa Maria/RS) e José Hélio Justo (Superintendência da RFB da 10ª RF / Porto Alegre) </t>
  </si>
  <si>
    <t>QUANTIDADE DE POSTOS. COM BANHEIRO. 40% INSALUBRIDADE</t>
  </si>
  <si>
    <t>SERVIÇO DE LIMPEZA</t>
  </si>
  <si>
    <r>
      <rPr>
        <b/>
        <sz val="18"/>
        <rFont val="Arial"/>
        <charset val="134"/>
      </rPr>
      <t xml:space="preserve">ANEXO V </t>
    </r>
    <r>
      <rPr>
        <b/>
        <sz val="18"/>
        <color rgb="FFFF0000"/>
        <rFont val="Arial"/>
        <charset val="134"/>
      </rPr>
      <t xml:space="preserve">do Pregão Eletrônico nº 43/2019 </t>
    </r>
    <r>
      <rPr>
        <b/>
        <sz val="18"/>
        <color rgb="FF0000FF"/>
        <rFont val="Arial"/>
        <charset val="134"/>
      </rPr>
      <t xml:space="preserve">
</t>
    </r>
    <r>
      <rPr>
        <b/>
        <sz val="18"/>
        <rFont val="Arial"/>
        <charset val="134"/>
      </rPr>
      <t xml:space="preserve">MODELO DE PLANILHA DE CUSTOS E FORMAÇÃO DE PREÇOS  </t>
    </r>
  </si>
  <si>
    <t>Nº do processo:</t>
  </si>
  <si>
    <t>23368.001450/2019-74</t>
  </si>
  <si>
    <t>Licitação nº:</t>
  </si>
  <si>
    <t>43/2019</t>
  </si>
  <si>
    <t xml:space="preserve">Dia: 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</si>
  <si>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</si>
  <si>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</si>
  <si>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</si>
  <si>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</si>
  <si>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</si>
  <si>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</si>
  <si>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Acordo, Convenção ou Dissídio Coletivo</t>
  </si>
  <si>
    <t>D</t>
  </si>
  <si>
    <t>Número de meses de execução contratual</t>
  </si>
  <si>
    <t>IDENTIFICAÇÃO DO SERVIÇO</t>
  </si>
  <si>
    <t xml:space="preserve">Tipo de Serviço: 
                                Limpeza e Conservação Predial                                                                                                   </t>
  </si>
  <si>
    <t>Unidade
 de 
Medida</t>
  </si>
  <si>
    <t xml:space="preserve">Quantidade total a contratar (área) </t>
  </si>
  <si>
    <t>a) Áreas internas - Pisos acarpetados</t>
  </si>
  <si>
    <t>m2</t>
  </si>
  <si>
    <t>b) Áreas internas - Pisos frios</t>
  </si>
  <si>
    <t>c) Áreas internas - Laboratórios</t>
  </si>
  <si>
    <t>d) Áreas internas - Almoxarifados/galpões</t>
  </si>
  <si>
    <t>e) Áreas internas - Pisos parquet</t>
  </si>
  <si>
    <t>f) Áreas internas - Áreas com espaços livres - saguão, hall e salão</t>
  </si>
  <si>
    <t>m-2</t>
  </si>
  <si>
    <t>m-1</t>
  </si>
  <si>
    <t>m0</t>
  </si>
  <si>
    <t xml:space="preserve">g) Banheiros </t>
  </si>
  <si>
    <t>TOTAL DA ÁREA INTERNA</t>
  </si>
  <si>
    <t>a) Áreas externas - Pisos pavimentados adjacentes/contíguos às edificações</t>
  </si>
  <si>
    <t>b) Áreas externas -  Varrição de passeios e arruamentos</t>
  </si>
  <si>
    <t>c) Áreas externas -  Pátios com áreas verdes com alta frequência</t>
  </si>
  <si>
    <t>d) Áreas externas -  Pátios com áreas verdes com média frequência</t>
  </si>
  <si>
    <t>e) Áreas externas -  Pátios com áreas verdes com baixa frequência</t>
  </si>
  <si>
    <t>f) Áreas externas -  Coleta de detritos em pátios e áreas verdes com frequência diária</t>
  </si>
  <si>
    <t>TOTAL DA ÁREA EXTERNA</t>
  </si>
  <si>
    <t>a) Esquadrias externas - Face externa com exposição a situação de risco</t>
  </si>
  <si>
    <t>b) Esquadrias externas - Face externa sem exposição a situação de risco</t>
  </si>
  <si>
    <t>c) Esquadrias externas - Face interna</t>
  </si>
  <si>
    <t>TOTAL DA ÁREA DA ESQUADRIA EXTERNA - FACE INTERNA/EXTERNA</t>
  </si>
  <si>
    <t>a) Fachada envidraçada</t>
  </si>
  <si>
    <t>TOTAL DA ÁREA DA FACHADA ENVIDRAÇADA</t>
  </si>
  <si>
    <t>a) Áreas hospitalares e assemelhadas</t>
  </si>
  <si>
    <r>
      <rPr>
        <b/>
        <sz val="10"/>
        <rFont val="Arial"/>
        <charset val="134"/>
      </rPr>
      <t xml:space="preserve">                                                                                                     </t>
    </r>
    <r>
      <rPr>
        <b/>
        <sz val="10"/>
        <color indexed="10"/>
        <rFont val="Arial"/>
        <charset val="134"/>
      </rPr>
      <t>TOTAL DAS ÁREAS HOSPITALARES</t>
    </r>
  </si>
  <si>
    <t>a) Outras áreas (especificar)</t>
  </si>
  <si>
    <t>TOTAL DAS OUTRAS ÁREAS (ESPECIFICAR)</t>
  </si>
  <si>
    <t xml:space="preserve">TOTAL GERAL </t>
  </si>
  <si>
    <t>Nota 1: Esta tabela poderá ser adaptada às características do serviço contratado, inclusive no que concerne às rubricas e suas respectivas provisões e/ou estimativas, desde que haja justificativa.
Nota 2: As provisões constantes desta planilha poderão  ser desnecessárias quando se tratar de determinados serviços que prescindam da dedicação exclusiva dos trabalhadores da contratada para com a Administração.</t>
  </si>
  <si>
    <r>
      <rPr>
        <b/>
        <sz val="15"/>
        <rFont val="Arial"/>
        <charset val="134"/>
      </rPr>
      <t xml:space="preserve">1. MÓDULOS 
</t>
    </r>
    <r>
      <rPr>
        <b/>
        <sz val="12"/>
        <rFont val="Arial"/>
        <charset val="134"/>
      </rPr>
      <t xml:space="preserve">Mão de obra
</t>
    </r>
    <r>
      <rPr>
        <b/>
        <sz val="11"/>
        <rFont val="Arial"/>
        <charset val="134"/>
      </rPr>
      <t>Mão de obra vinculada à execução contratual</t>
    </r>
  </si>
  <si>
    <t>Dados para composição dos custos referente à mão de obra</t>
  </si>
  <si>
    <t>Tipo de Serviço (mesmo serviço com características distintas)</t>
  </si>
  <si>
    <t xml:space="preserve"> limpeza e conservação</t>
  </si>
  <si>
    <t>Classificação Brasileira de Ocupações (CBO)</t>
  </si>
  <si>
    <t>Salário Normativo da Categoria Profissional - para a jornada de 44 h/sem</t>
  </si>
  <si>
    <t>Categoria Profissional (vinculada à execução contratual)</t>
  </si>
  <si>
    <t xml:space="preserve">      servente de limpeza</t>
  </si>
  <si>
    <t>Data-Base da Categoria (dia/mês/ano)</t>
  </si>
  <si>
    <t>Nota 1:  Deverá ser elaborado um quadro para cada tipo de serviço.
Nota 2: A planilha será calculada considerando o valor mensal do empregado</t>
  </si>
  <si>
    <t>Módulo 1: Composição da Remuneração</t>
  </si>
  <si>
    <t xml:space="preserve">Composição da Remuneração </t>
  </si>
  <si>
    <t>Percentual
(R$)</t>
  </si>
  <si>
    <t xml:space="preserve">Valor
(R$) </t>
  </si>
  <si>
    <r>
      <rPr>
        <b/>
        <sz val="10"/>
        <rFont val="Arial"/>
        <charset val="134"/>
      </rPr>
      <t xml:space="preserve">Salário-Base               </t>
    </r>
    <r>
      <rPr>
        <b/>
        <sz val="10"/>
        <color indexed="12"/>
        <rFont val="Arial"/>
        <charset val="134"/>
      </rPr>
      <t xml:space="preserve"> Cfe jornada a ser contratada</t>
    </r>
  </si>
  <si>
    <t xml:space="preserve">Adicional de Periculosidade </t>
  </si>
  <si>
    <t>Adicional de Insalubridade (40% do SB - cláusula 59 da CCT SINDASSEIO/POA 2018)</t>
  </si>
  <si>
    <r>
      <rPr>
        <b/>
        <sz val="10"/>
        <rFont val="Arial"/>
        <charset val="134"/>
      </rPr>
      <t xml:space="preserve">Adicional Noturno  </t>
    </r>
    <r>
      <rPr>
        <b/>
        <sz val="10"/>
        <color indexed="12"/>
        <rFont val="Arial"/>
        <charset val="134"/>
      </rPr>
      <t xml:space="preserve"> </t>
    </r>
  </si>
  <si>
    <t>E</t>
  </si>
  <si>
    <t xml:space="preserve">Adicional de Hora Noturna Reduzida </t>
  </si>
  <si>
    <t>F</t>
  </si>
  <si>
    <t xml:space="preserve">Adicional de Hora Extra no Feriado Trabalhado </t>
  </si>
  <si>
    <t>G</t>
  </si>
  <si>
    <t xml:space="preserve">Outros (especificar)                                          </t>
  </si>
  <si>
    <t xml:space="preserve">Total </t>
  </si>
  <si>
    <t>Nota1:  O Módulo 1 refere-se ao valor mensal devido ao empegado pela prestação do serviço no período de 12 meses.
Nota 2:  Para o empregado que labora jornada de 12x36, em caso de não concessão ou concessão parcial do intervalo intrajornada (§ 4º do art. 71 da CLT), o valor a ser pago será inserido na remuneração utilizando a alínea “G”</t>
  </si>
  <si>
    <t>Módulo 2 – Encargos e Benefícios Anuais, Mensais e Diários</t>
  </si>
  <si>
    <r>
      <rPr>
        <b/>
        <sz val="11"/>
        <rFont val="Arial"/>
        <charset val="134"/>
      </rPr>
      <t>Submódulo 2.1 – 13º (décimo terceiro) Salário</t>
    </r>
    <r>
      <rPr>
        <b/>
        <sz val="11"/>
        <color indexed="10"/>
        <rFont val="Arial"/>
        <charset val="134"/>
      </rPr>
      <t xml:space="preserve"> </t>
    </r>
    <r>
      <rPr>
        <b/>
        <sz val="11"/>
        <rFont val="Arial"/>
        <charset val="134"/>
      </rPr>
      <t xml:space="preserve">  e Adicional de Férias</t>
    </r>
  </si>
  <si>
    <t>2.1</t>
  </si>
  <si>
    <t>13º (décimo terceiro) Salário  e Adicional de Férias</t>
  </si>
  <si>
    <t>Valor (R$)</t>
  </si>
  <si>
    <r>
      <rPr>
        <b/>
        <sz val="10"/>
        <rFont val="Arial"/>
        <charset val="134"/>
      </rPr>
      <t xml:space="preserve">13º (décimo terceiro) Salário                 </t>
    </r>
    <r>
      <rPr>
        <b/>
        <sz val="10"/>
        <color indexed="10"/>
        <rFont val="Arial"/>
        <charset val="134"/>
      </rPr>
      <t xml:space="preserve">Cálculo do valor = Rem/12   </t>
    </r>
    <r>
      <rPr>
        <b/>
        <sz val="10"/>
        <rFont val="Arial"/>
        <charset val="134"/>
      </rPr>
      <t xml:space="preserve">  </t>
    </r>
  </si>
  <si>
    <r>
      <rPr>
        <b/>
        <sz val="10"/>
        <rFont val="Arial"/>
        <charset val="134"/>
      </rPr>
      <t xml:space="preserve">Adicional de Férias  </t>
    </r>
    <r>
      <rPr>
        <b/>
        <sz val="10"/>
        <color rgb="FFFF0000"/>
        <rFont val="Arial"/>
        <charset val="134"/>
      </rPr>
      <t>Cálculo do valor = [(Rem/3)/12]</t>
    </r>
  </si>
  <si>
    <t>Total</t>
  </si>
  <si>
    <t>Incidência dos encargos do Submódulo 2.2 sobre o total do Submódulo 2.1</t>
  </si>
  <si>
    <t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</si>
  <si>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</si>
  <si>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</si>
  <si>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</si>
  <si>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</si>
  <si>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Valor
 (R$)</t>
  </si>
  <si>
    <t>INSS</t>
  </si>
  <si>
    <t>Salário Educação</t>
  </si>
  <si>
    <r>
      <rPr>
        <b/>
        <sz val="10"/>
        <rFont val="Arial"/>
        <charset val="134"/>
      </rPr>
      <t xml:space="preserve">RAT x FAP
</t>
    </r>
    <r>
      <rPr>
        <b/>
        <sz val="8"/>
        <color indexed="10"/>
        <rFont val="Arial"/>
        <charset val="134"/>
      </rPr>
      <t>Cálculo do valor: % do SAT x FAP (Fator Acidentário de Prevenção de cada empresa)</t>
    </r>
  </si>
  <si>
    <t>RAT =</t>
  </si>
  <si>
    <t xml:space="preserve"> FAP =</t>
  </si>
  <si>
    <t>SESC ou SESI</t>
  </si>
  <si>
    <t>SENAC ou SENAI</t>
  </si>
  <si>
    <t>SEBRAE</t>
  </si>
  <si>
    <t>INCRA</t>
  </si>
  <si>
    <t>H</t>
  </si>
  <si>
    <t>FGTS</t>
  </si>
  <si>
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o Módulo 3, o Módulo 4 e o Módulo 6.</t>
  </si>
  <si>
    <t>Submódulo 2.3 – Benefícios Mensais e Diários</t>
  </si>
  <si>
    <t>2.3</t>
  </si>
  <si>
    <t>Benefícios Mensais e Diários</t>
  </si>
  <si>
    <r>
      <rPr>
        <b/>
        <sz val="10"/>
        <rFont val="Arial"/>
        <charset val="134"/>
      </rPr>
      <t xml:space="preserve">Transporte                                              </t>
    </r>
    <r>
      <rPr>
        <b/>
        <sz val="10"/>
        <color indexed="10"/>
        <rFont val="Arial"/>
        <charset val="134"/>
      </rPr>
      <t xml:space="preserve"> Cálculo do valor: [(2xVTx22) – (6%xSB)]</t>
    </r>
  </si>
  <si>
    <t xml:space="preserve">      A.1) Valor da passagem do transporte coletivo no município de prestação dos serviços: </t>
  </si>
  <si>
    <t>-</t>
  </si>
  <si>
    <t xml:space="preserve">      A.2) Quantidade de passagens por dia por empregado:</t>
  </si>
  <si>
    <t xml:space="preserve">      A.3) Quantidade de dias do mês de recebimento de passagens</t>
  </si>
  <si>
    <r>
      <rPr>
        <b/>
        <sz val="10"/>
        <rFont val="Arial"/>
        <charset val="134"/>
      </rPr>
      <t xml:space="preserve">Auxílio-Refeição/Alimentação </t>
    </r>
    <r>
      <rPr>
        <b/>
        <sz val="10"/>
        <color indexed="10"/>
        <rFont val="Arial"/>
        <charset val="134"/>
      </rPr>
      <t>Cálculo do valor = [(22xVA)x(1-</t>
    </r>
    <r>
      <rPr>
        <b/>
        <sz val="10"/>
        <color indexed="12"/>
        <rFont val="Arial"/>
        <charset val="134"/>
      </rPr>
      <t>0,19</t>
    </r>
    <r>
      <rPr>
        <b/>
        <sz val="10"/>
        <color indexed="10"/>
        <rFont val="Arial"/>
        <charset val="134"/>
      </rPr>
      <t>)]</t>
    </r>
  </si>
  <si>
    <t xml:space="preserve">      B.1) Valor do auxílio-alimentação (clausula 19 da CCT 2019): </t>
  </si>
  <si>
    <t xml:space="preserve">      B.2) Quantidade de dias do mês de recebimento de auxílio-alimentação</t>
  </si>
  <si>
    <t xml:space="preserve">      B.3) Desconto do empregado (%)</t>
  </si>
  <si>
    <t>Assistência Médica e Familiar</t>
  </si>
  <si>
    <r>
      <rPr>
        <b/>
        <sz val="10"/>
        <rFont val="Arial"/>
        <charset val="134"/>
      </rPr>
      <t>Auxílio-Lanche</t>
    </r>
    <r>
      <rPr>
        <b/>
        <sz val="10"/>
        <color indexed="10"/>
        <rFont val="Arial"/>
        <charset val="134"/>
      </rPr>
      <t xml:space="preserve"> Cálculo do valor = [(4xVL)x(1-0,19)]</t>
    </r>
  </si>
  <si>
    <r>
      <rPr>
        <b/>
        <sz val="10"/>
        <rFont val="Arial"/>
        <charset val="134"/>
      </rPr>
      <t xml:space="preserve">Seguro contra riscos de acidente de trabalho </t>
    </r>
    <r>
      <rPr>
        <b/>
        <sz val="10"/>
        <color indexed="10"/>
        <rFont val="Arial"/>
        <charset val="134"/>
      </rPr>
      <t>Cálculo do valor = R$ 7.000,00x0,1068%</t>
    </r>
    <r>
      <rPr>
        <b/>
        <sz val="10"/>
        <rFont val="Arial"/>
        <charset val="134"/>
      </rPr>
      <t xml:space="preserve"> </t>
    </r>
    <r>
      <rPr>
        <b/>
        <sz val="10"/>
        <color indexed="39"/>
        <rFont val="Arial"/>
        <charset val="134"/>
      </rPr>
      <t>Como não tem mais essa exigência na CCT não pode descontar do empregado</t>
    </r>
  </si>
  <si>
    <r>
      <rPr>
        <b/>
        <sz val="10"/>
        <rFont val="Arial"/>
        <charset val="134"/>
      </rPr>
      <t xml:space="preserve">Plano de Benefício Social Familiar (cláusula 22 da CCT 2019)  </t>
    </r>
    <r>
      <rPr>
        <b/>
        <sz val="10"/>
        <color indexed="10"/>
        <rFont val="Arial"/>
        <charset val="134"/>
      </rPr>
      <t xml:space="preserve">Cálculo do valor = R$ 15,02 </t>
    </r>
    <r>
      <rPr>
        <b/>
        <sz val="10"/>
        <color indexed="39"/>
        <rFont val="Arial"/>
        <charset val="134"/>
      </rPr>
      <t>Sem participação do empregado</t>
    </r>
  </si>
  <si>
    <t xml:space="preserve">Outros (especificar)                                            </t>
  </si>
  <si>
    <t>Nota 1: o valor informado deverá ser o custo real do insumo (descontado o valor eventualmente pago pelo empregado).
Nota 2: Observar a previsão dos benefícios contidos em Acordos, Convenções e Dissídios Coletivos de Trabalho e atentar-se ao disposto no artigo 6º desta Instrução Normativa.</t>
  </si>
  <si>
    <t>Quadro-Resumo do Módulo 2 – Encargos e Benefícios Anuais, Mensais e Diários</t>
  </si>
  <si>
    <t>Encargos e Benefícios Anuais, Mensais e Diários</t>
  </si>
  <si>
    <r>
      <rPr>
        <b/>
        <sz val="10"/>
        <rFont val="Arial"/>
        <charset val="134"/>
      </rPr>
      <t>13º (décimo terceiro) Salário</t>
    </r>
    <r>
      <rPr>
        <b/>
        <sz val="10"/>
        <color rgb="FFFF0000"/>
        <rFont val="Arial"/>
        <charset val="134"/>
      </rPr>
      <t xml:space="preserve"> </t>
    </r>
    <r>
      <rPr>
        <b/>
        <sz val="10"/>
        <rFont val="Arial"/>
        <charset val="134"/>
      </rPr>
      <t xml:space="preserve"> e Adicional de Férias</t>
    </r>
  </si>
  <si>
    <t>Módulo 3 - Provisão para Rescisão</t>
  </si>
  <si>
    <t>Provisão para Rescisão</t>
  </si>
  <si>
    <t>Valor  (R$)</t>
  </si>
  <si>
    <r>
      <rPr>
        <b/>
        <sz val="10"/>
        <rFont val="Arial"/>
        <charset val="134"/>
      </rPr>
      <t xml:space="preserve">Aviso Prévio Indenizado     </t>
    </r>
    <r>
      <rPr>
        <b/>
        <sz val="8"/>
        <color indexed="10"/>
        <rFont val="Arial"/>
        <charset val="134"/>
      </rPr>
      <t>Aviso-prévio indenizado     Cálculo do valor = 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</t>
    </r>
  </si>
  <si>
    <t>Incidência do FGTS sobre o Aviso Prévio Indenizado</t>
  </si>
  <si>
    <r>
      <rPr>
        <b/>
        <sz val="10"/>
        <rFont val="Arial"/>
        <charset val="134"/>
      </rPr>
      <t xml:space="preserve">Multa do FGTS e contribuição social sobre o Aviso Prévio Indenizado                                             </t>
    </r>
    <r>
      <rPr>
        <b/>
        <sz val="10"/>
        <color rgb="FFFF0000"/>
        <rFont val="Arial"/>
        <charset val="134"/>
      </rPr>
      <t>Cálculo do valor = [40%x8%x(Rem+13º+Férias+1/3xFérias)]x5% de rotatividade</t>
    </r>
  </si>
  <si>
    <r>
      <rPr>
        <b/>
        <sz val="10"/>
        <rFont val="Arial"/>
        <charset val="134"/>
      </rPr>
      <t xml:space="preserve">Aviso Prévio Trabalhado                 (negociar extinção/redução na 1ª prorrogação)
</t>
    </r>
    <r>
      <rPr>
        <b/>
        <sz val="10"/>
        <color indexed="10"/>
        <rFont val="Arial"/>
        <charset val="134"/>
      </rPr>
      <t>Cálculo do valor= [(Rem/30)x7]/12 meses do contratox90% dos empregados - ao final do contrato</t>
    </r>
  </si>
  <si>
    <t xml:space="preserve">Incidência dos encargos do Submódulo 2.2 sobre o Aviso Prévio Trabalhado         </t>
  </si>
  <si>
    <r>
      <rPr>
        <b/>
        <sz val="10"/>
        <rFont val="Arial"/>
        <charset val="134"/>
      </rPr>
      <t xml:space="preserve">Multa do FGTS e contribuição social  sobre o Aviso Prévio Trabalhado                                            </t>
    </r>
    <r>
      <rPr>
        <b/>
        <sz val="10"/>
        <color rgb="FFFF0000"/>
        <rFont val="Arial"/>
        <charset val="134"/>
      </rPr>
      <t>Cálculo do valor = [40%x8%x(Rem+13º+Férias+1/3xFérias)]x90% dos empregados</t>
    </r>
  </si>
  <si>
    <t>Nota: Com a publicação da Lei 13.932 de 11/12/2019, extinguiu-se a cobrança da contribuição de 10% , devida pelos empregadores, em caso de despedida sem justa causa, incidentes nos cálculos das multas do FGTS e CS sobre os avisos prévios indenizados e trabalhados.</t>
  </si>
  <si>
    <t>Módulo 4 - Custo de Reposição do Profissional Ausente</t>
  </si>
  <si>
    <t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</si>
  <si>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r>
      <rPr>
        <b/>
        <sz val="11"/>
        <color indexed="12"/>
        <rFont val="Arial"/>
        <charset val="134"/>
      </rPr>
      <t xml:space="preserve">Base de cálculo para o Custo de Reposição do Profissional Ausente (substituto): BCCPA = Rem + 13º + Férias + 1/3Férias
</t>
    </r>
    <r>
      <rPr>
        <sz val="11"/>
        <color theme="1"/>
        <rFont val="Calibri"/>
        <charset val="134"/>
      </rPr>
      <t>Conforme item 89 do Relatório do Acórdão TCU n 1.753/2008 do Plenário</t>
    </r>
  </si>
  <si>
    <t>Submódulo 4.1 – Ausências Legais</t>
  </si>
  <si>
    <t>4.1</t>
  </si>
  <si>
    <t>Ausências Legais</t>
  </si>
  <si>
    <r>
      <rPr>
        <b/>
        <sz val="10"/>
        <rFont val="Arial"/>
        <charset val="134"/>
      </rPr>
      <t xml:space="preserve">Férias                                                                                        </t>
    </r>
    <r>
      <rPr>
        <b/>
        <sz val="10"/>
        <color indexed="10"/>
        <rFont val="Arial"/>
        <charset val="134"/>
      </rPr>
      <t xml:space="preserve"> Cálculo do valor = 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/12</t>
    </r>
  </si>
  <si>
    <r>
      <rPr>
        <b/>
        <sz val="10"/>
        <rFont val="Arial"/>
        <charset val="134"/>
      </rPr>
      <t xml:space="preserve">Ausências Legais                                               </t>
    </r>
    <r>
      <rPr>
        <b/>
        <sz val="10"/>
        <color indexed="10"/>
        <rFont val="Arial"/>
        <charset val="134"/>
      </rPr>
      <t>Cálculo do valor = [(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/30)x2,96dias]/12</t>
    </r>
  </si>
  <si>
    <r>
      <rPr>
        <b/>
        <sz val="10"/>
        <rFont val="Arial"/>
        <charset val="134"/>
      </rPr>
      <t xml:space="preserve">Licença-Paternidade                                   </t>
    </r>
    <r>
      <rPr>
        <b/>
        <sz val="10"/>
        <color indexed="10"/>
        <rFont val="Arial"/>
        <charset val="134"/>
      </rPr>
      <t>Cálculo do valor = {[(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/30)x5dias]/12}x1,5%</t>
    </r>
  </si>
  <si>
    <r>
      <rPr>
        <b/>
        <sz val="10"/>
        <rFont val="Arial"/>
        <charset val="134"/>
      </rPr>
      <t xml:space="preserve">Ausência por acidente de trabalho           </t>
    </r>
    <r>
      <rPr>
        <b/>
        <sz val="10"/>
        <color indexed="10"/>
        <rFont val="Arial"/>
        <charset val="134"/>
      </rPr>
      <t>Cálculo do valor  = {[(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/30)x15dias]/12}x0,78%</t>
    </r>
  </si>
  <si>
    <r>
      <rPr>
        <b/>
        <sz val="10"/>
        <rFont val="Arial"/>
        <charset val="134"/>
      </rPr>
      <t xml:space="preserve">Afastamento Maternidade                           </t>
    </r>
    <r>
      <rPr>
        <b/>
        <sz val="10"/>
        <color indexed="10"/>
        <rFont val="Arial"/>
        <charset val="134"/>
      </rPr>
      <t>Cálculo do valor = {[(</t>
    </r>
    <r>
      <rPr>
        <b/>
        <sz val="10"/>
        <color indexed="12"/>
        <rFont val="Arial"/>
        <charset val="134"/>
      </rPr>
      <t>Rem</t>
    </r>
    <r>
      <rPr>
        <b/>
        <sz val="10"/>
        <color indexed="10"/>
        <rFont val="Arial"/>
        <charset val="134"/>
      </rPr>
      <t>+1/3</t>
    </r>
    <r>
      <rPr>
        <b/>
        <sz val="10"/>
        <color indexed="12"/>
        <rFont val="Arial"/>
        <charset val="134"/>
      </rPr>
      <t>Rem</t>
    </r>
    <r>
      <rPr>
        <b/>
        <sz val="10"/>
        <color indexed="10"/>
        <rFont val="Arial"/>
        <charset val="134"/>
      </rPr>
      <t>)/12]x(4/12)}x2%</t>
    </r>
  </si>
  <si>
    <r>
      <rPr>
        <b/>
        <sz val="10"/>
        <color indexed="8"/>
        <rFont val="Arial"/>
        <charset val="134"/>
      </rPr>
      <t xml:space="preserve">(Outros)   Ausência por doença </t>
    </r>
    <r>
      <rPr>
        <b/>
        <sz val="10"/>
        <color indexed="12"/>
        <rFont val="Arial"/>
        <charset val="134"/>
      </rPr>
      <t>(incluído)</t>
    </r>
    <r>
      <rPr>
        <b/>
        <sz val="10"/>
        <color indexed="8"/>
        <rFont val="Arial"/>
        <charset val="134"/>
      </rPr>
      <t xml:space="preserve">  </t>
    </r>
    <r>
      <rPr>
        <b/>
        <sz val="10"/>
        <color indexed="10"/>
        <rFont val="Arial"/>
        <charset val="134"/>
      </rPr>
      <t>Cálculo do valor = [(</t>
    </r>
    <r>
      <rPr>
        <b/>
        <sz val="10"/>
        <color indexed="12"/>
        <rFont val="Arial"/>
        <charset val="134"/>
      </rPr>
      <t>BCCPA</t>
    </r>
    <r>
      <rPr>
        <b/>
        <sz val="10"/>
        <color indexed="10"/>
        <rFont val="Arial"/>
        <charset val="134"/>
      </rPr>
      <t>)/30)x5dias]/12</t>
    </r>
  </si>
  <si>
    <t>Incidência dos encargos do Submódulo 2.2 sobre o  total do Submódulo 4.1</t>
  </si>
  <si>
    <t xml:space="preserve">Nota 1: A alínea "A" referente as férias para a composição da Base de Cálculo do Custo do Profissional Ausente (BCCPA), está zerada porque a Administração tem as atividades reduzidas no período correspondente entre dezembro e fevereiro. Sendo assim, o IFRS Campus Poa tem intuito de agendar as férias dos terceirizados, sem reposição, para o período de recesso acima informado.                                                                                                     Nota 2: A alínea “F” refere-se somente ao custo que será pago ao repositor pelos dias trabalhados quando da necessidade de substituir a mão de obra alocada na prestação do serviço.                                                                                                                                                                                                                         </t>
  </si>
  <si>
    <t>Submódulo 4.2 – Intrajornada</t>
  </si>
  <si>
    <t xml:space="preserve">4.2 </t>
  </si>
  <si>
    <t>Intrajornada</t>
  </si>
  <si>
    <t>Intervalo para repouso ou alimentação</t>
  </si>
  <si>
    <t>Incidência dos encargos do Submódulo 2.2 sobre o total do Submódulo 4.2</t>
  </si>
  <si>
    <t>Nota: Quando houver a necessidade de reposição de um empregado durante sua ausência nos intervalos para repouso ou alimentação deve-se contemplar o Submódulo 4.2.</t>
  </si>
  <si>
    <t>Quadro-Resumo do Módulo 4 – Custo de Reposição do Profissional Ausente</t>
  </si>
  <si>
    <t>Custo de Reposição do Profissional Ausente</t>
  </si>
  <si>
    <t>4.2</t>
  </si>
  <si>
    <t>Módulo 5 – Insumos Diversos</t>
  </si>
  <si>
    <t>Insumos diversos</t>
  </si>
  <si>
    <t xml:space="preserve">Uniformes </t>
  </si>
  <si>
    <t xml:space="preserve">Materiais </t>
  </si>
  <si>
    <t xml:space="preserve">Equipamentos </t>
  </si>
  <si>
    <t xml:space="preserve">Outros (especificar) </t>
  </si>
  <si>
    <t>0.00</t>
  </si>
  <si>
    <t>Nota: Valores mensais por empregado.</t>
  </si>
  <si>
    <t>Módulo 6 -  Custos Indiretos, Lucro e Tributos</t>
  </si>
  <si>
    <t xml:space="preserve">Custos Indiretos, Lucro e Tributos </t>
  </si>
  <si>
    <t>Valor
(R$)</t>
  </si>
  <si>
    <t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</si>
  <si>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>Custos Indiretos</t>
  </si>
  <si>
    <t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</si>
  <si>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</si>
  <si>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>Tributos</t>
  </si>
  <si>
    <t>Regime</t>
  </si>
  <si>
    <t>C.1    Tributos Federais (especificar)</t>
  </si>
  <si>
    <t>Presum</t>
  </si>
  <si>
    <t>Real</t>
  </si>
  <si>
    <r>
      <rPr>
        <b/>
        <sz val="10"/>
        <rFont val="Arial"/>
        <charset val="134"/>
      </rPr>
      <t xml:space="preserve">  a) Cofins  </t>
    </r>
    <r>
      <rPr>
        <sz val="10"/>
        <color rgb="FFFF0000"/>
        <rFont val="Arial"/>
        <charset val="134"/>
      </rPr>
      <t>(depende do regime de tributação - utilizada a hipótese de Lucro Presumido)</t>
    </r>
  </si>
  <si>
    <t>Cofins</t>
  </si>
  <si>
    <t/>
  </si>
  <si>
    <r>
      <rPr>
        <b/>
        <sz val="10"/>
        <rFont val="Arial"/>
        <charset val="134"/>
      </rPr>
      <t xml:space="preserve">  b) PIS </t>
    </r>
    <r>
      <rPr>
        <sz val="10"/>
        <color rgb="FFFF0000"/>
        <rFont val="Arial"/>
        <charset val="134"/>
      </rPr>
      <t>(depende do regime de tributação - utilizada a hipótese de Lucro Presumido)</t>
    </r>
  </si>
  <si>
    <t>PIS</t>
  </si>
  <si>
    <r>
      <rPr>
        <b/>
        <sz val="10"/>
        <rFont val="Arial"/>
        <charset val="134"/>
      </rPr>
      <t xml:space="preserve"> c) IRPJ - </t>
    </r>
    <r>
      <rPr>
        <b/>
        <sz val="10"/>
        <color indexed="12"/>
        <rFont val="Arial"/>
        <charset val="134"/>
      </rPr>
      <t>Em face do Ac. TCU nº 648/2016-P, o licitante pode cotar este tributo, porém a Administração não pode inclui-lo no orçamento-base</t>
    </r>
  </si>
  <si>
    <r>
      <rPr>
        <b/>
        <sz val="10"/>
        <rFont val="Arial"/>
        <charset val="134"/>
      </rPr>
      <t xml:space="preserve"> d) CSLL - </t>
    </r>
    <r>
      <rPr>
        <b/>
        <sz val="10"/>
        <color indexed="12"/>
        <rFont val="Arial"/>
        <charset val="134"/>
      </rPr>
      <t>Em face do Ac. TCU nº 648/2016-P, o licitante pode cotar este tributo, porém a Administração não pode inclui-lo no orçamento-base</t>
    </r>
  </si>
  <si>
    <t>C.2   Tributos Estaduais (especificar)</t>
  </si>
  <si>
    <t>C.3   Tributos Municipais (especificar):</t>
  </si>
  <si>
    <r>
      <rPr>
        <b/>
        <sz val="10"/>
        <rFont val="Arial"/>
        <charset val="134"/>
      </rPr>
      <t xml:space="preserve">  a) ISS             </t>
    </r>
    <r>
      <rPr>
        <sz val="10"/>
        <color indexed="10"/>
        <rFont val="Arial"/>
        <charset val="134"/>
      </rPr>
      <t xml:space="preserve"> </t>
    </r>
  </si>
  <si>
    <t xml:space="preserve">Percentual Total e Valor Total de Tributos  </t>
  </si>
  <si>
    <t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</si>
  <si>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</si>
  <si>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</si>
  <si>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</si>
  <si>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>Nota 1: Custos Indiretos, Lucro e Tributos por empregado.
Nota 2: O valor referente a tributos é obtido aplicando-se o percentual sobre o valor do faturamento.</t>
  </si>
  <si>
    <t xml:space="preserve">
2. QUADRO-RESUMO DO CUSTO POR EMPREGADO
</t>
  </si>
  <si>
    <t xml:space="preserve">                          Mão de obra vinculada à execução contratual (valor por empregado)</t>
  </si>
  <si>
    <t>Módulo 1 - Composição da Remuneração</t>
  </si>
  <si>
    <t>Módulo 3 – Provisão para Rescisão</t>
  </si>
  <si>
    <t>Módulo 4 – Custo de Reposição do Profissional Ausente</t>
  </si>
  <si>
    <t xml:space="preserve">Módulo 5 - Insumo Diversos </t>
  </si>
  <si>
    <t>Subtotal (A + B + C + D + E)</t>
  </si>
  <si>
    <t>Módulo 6 - Custos Indiretos, Lucro e Tributos</t>
  </si>
  <si>
    <t>Valor Total por Empregado</t>
  </si>
  <si>
    <t>3.  COMPLEMENTO DOS SERVIÇOS DE LIMPEZA E CONSERVAÇÃO</t>
  </si>
  <si>
    <t>PREÇO MENSAL UNITÁRIO POR M² (metro quadrado)</t>
  </si>
  <si>
    <t>ÁREA INTERNA (Fórmulas exemplificativas de cálculo para área interna - alíneas "a" e "b" do subitem 3.1 do Anexo VI-B; para as demais alíneas, deverão ser incluídos novos campos na planilha com a metragem adequada).</t>
  </si>
  <si>
    <t>MÃO DE OBRA 
       ENCARREGADO / SERVENTE</t>
  </si>
  <si>
    <t>(1) 
PRODUTIVIDADE
(1/M²)</t>
  </si>
  <si>
    <t>(2)
PREÇO HOMEM-MÊS                   (R$)</t>
  </si>
  <si>
    <t>(1 X 2)
SUBTOTAL
(R$/M²)</t>
  </si>
  <si>
    <r>
      <rPr>
        <sz val="10"/>
        <rFont val="Arial"/>
        <charset val="134"/>
      </rPr>
      <t xml:space="preserve">ENC. / Pisos acarpetados </t>
    </r>
    <r>
      <rPr>
        <sz val="10"/>
        <color indexed="25"/>
        <rFont val="Arial"/>
        <charset val="134"/>
      </rPr>
      <t xml:space="preserve"> </t>
    </r>
    <r>
      <rPr>
        <sz val="10"/>
        <color indexed="10"/>
        <rFont val="Arial"/>
        <charset val="134"/>
      </rPr>
      <t>= 1/(30** x 1000*)</t>
    </r>
  </si>
  <si>
    <r>
      <rPr>
        <sz val="10"/>
        <rFont val="Arial"/>
        <charset val="134"/>
      </rPr>
      <t>SERV. / Pisos acarpetados</t>
    </r>
    <r>
      <rPr>
        <sz val="10"/>
        <color indexed="10"/>
        <rFont val="Arial"/>
        <charset val="134"/>
      </rPr>
      <t xml:space="preserve"> = 1 / 1000*</t>
    </r>
  </si>
  <si>
    <t>TOTAL</t>
  </si>
  <si>
    <r>
      <rPr>
        <sz val="10"/>
        <rFont val="Arial"/>
        <charset val="134"/>
      </rPr>
      <t xml:space="preserve">ENC. / Pisos frios </t>
    </r>
    <r>
      <rPr>
        <sz val="10"/>
        <color indexed="25"/>
        <rFont val="Arial"/>
        <charset val="134"/>
      </rPr>
      <t xml:space="preserve"> </t>
    </r>
    <r>
      <rPr>
        <sz val="10"/>
        <color indexed="10"/>
        <rFont val="Arial"/>
        <charset val="134"/>
      </rPr>
      <t>= 1/(30** x 1000*)</t>
    </r>
  </si>
  <si>
    <r>
      <rPr>
        <sz val="10"/>
        <rFont val="Arial"/>
        <charset val="134"/>
      </rPr>
      <t xml:space="preserve">SERV. / Pisos frios </t>
    </r>
    <r>
      <rPr>
        <sz val="10"/>
        <color indexed="10"/>
        <rFont val="Arial"/>
        <charset val="134"/>
      </rPr>
      <t>= 1 / 1000*</t>
    </r>
  </si>
  <si>
    <r>
      <rPr>
        <sz val="10"/>
        <rFont val="Arial"/>
        <charset val="134"/>
      </rPr>
      <t>ENC. / Laboratórios</t>
    </r>
    <r>
      <rPr>
        <sz val="10"/>
        <color indexed="10"/>
        <rFont val="Arial"/>
        <charset val="134"/>
      </rPr>
      <t xml:space="preserve"> = 1/(30** x 405*)</t>
    </r>
  </si>
  <si>
    <r>
      <rPr>
        <sz val="10"/>
        <rFont val="Arial"/>
        <charset val="134"/>
      </rPr>
      <t>SERV. / Laboratórios</t>
    </r>
    <r>
      <rPr>
        <sz val="10"/>
        <color indexed="10"/>
        <rFont val="Arial"/>
        <charset val="134"/>
      </rPr>
      <t xml:space="preserve"> = 1/405*</t>
    </r>
  </si>
  <si>
    <r>
      <rPr>
        <sz val="9"/>
        <rFont val="Arial"/>
        <charset val="134"/>
      </rPr>
      <t xml:space="preserve">ENC. / Almoxaridados/galpões </t>
    </r>
    <r>
      <rPr>
        <sz val="9"/>
        <color indexed="10"/>
        <rFont val="Arial"/>
        <charset val="134"/>
      </rPr>
      <t>= 1/(30**x 2000*)</t>
    </r>
  </si>
  <si>
    <r>
      <rPr>
        <sz val="9"/>
        <rFont val="Arial"/>
        <charset val="134"/>
      </rPr>
      <t xml:space="preserve">SERV./Almoxaridados/galpões </t>
    </r>
    <r>
      <rPr>
        <sz val="9"/>
        <color indexed="10"/>
        <rFont val="Arial"/>
        <charset val="134"/>
      </rPr>
      <t>= 1/2000*</t>
    </r>
  </si>
  <si>
    <r>
      <rPr>
        <sz val="10"/>
        <rFont val="Arial"/>
        <charset val="134"/>
      </rPr>
      <t xml:space="preserve">ENC. / Oficinas </t>
    </r>
    <r>
      <rPr>
        <sz val="10"/>
        <color indexed="10"/>
        <rFont val="Arial"/>
        <charset val="134"/>
      </rPr>
      <t>= 1/(30**x1500*)</t>
    </r>
  </si>
  <si>
    <r>
      <rPr>
        <sz val="10"/>
        <rFont val="Arial"/>
        <charset val="134"/>
      </rPr>
      <t xml:space="preserve">SERV. / Oficinas </t>
    </r>
    <r>
      <rPr>
        <sz val="10"/>
        <color indexed="10"/>
        <rFont val="Arial"/>
        <charset val="134"/>
      </rPr>
      <t>= 1/1500*</t>
    </r>
  </si>
  <si>
    <r>
      <rPr>
        <sz val="10"/>
        <rFont val="Arial"/>
        <charset val="134"/>
      </rPr>
      <t xml:space="preserve">ENC. / Áreas com espaços livres - saguão, hall e salão </t>
    </r>
    <r>
      <rPr>
        <sz val="10"/>
        <color indexed="10"/>
        <rFont val="Arial"/>
        <charset val="134"/>
      </rPr>
      <t>= 1/(30**x1250*)</t>
    </r>
  </si>
  <si>
    <r>
      <rPr>
        <sz val="10"/>
        <rFont val="Arial"/>
        <charset val="134"/>
      </rPr>
      <t xml:space="preserve">SERV. / Áreas com espaços livres - saguão, hall e salão </t>
    </r>
    <r>
      <rPr>
        <sz val="10"/>
        <color indexed="10"/>
        <rFont val="Arial"/>
        <charset val="134"/>
      </rPr>
      <t>= 1/1250*</t>
    </r>
  </si>
  <si>
    <r>
      <rPr>
        <b/>
        <sz val="10"/>
        <rFont val="Arial"/>
        <charset val="134"/>
      </rPr>
      <t xml:space="preserve">ENC. / Banheiros </t>
    </r>
    <r>
      <rPr>
        <sz val="10"/>
        <color indexed="10"/>
        <rFont val="Arial"/>
        <charset val="134"/>
      </rPr>
      <t>= 1(30**x250*)</t>
    </r>
  </si>
  <si>
    <r>
      <rPr>
        <b/>
        <sz val="10"/>
        <rFont val="Arial"/>
        <charset val="134"/>
      </rPr>
      <t xml:space="preserve">SERV. / Banheiros </t>
    </r>
    <r>
      <rPr>
        <sz val="10"/>
        <color indexed="10"/>
        <rFont val="Arial"/>
        <charset val="134"/>
      </rPr>
      <t>= 1/250*</t>
    </r>
  </si>
  <si>
    <t>P = produtividade de referência do trabalhador prevista no subitem 3.1</t>
  </si>
  <si>
    <t xml:space="preserve">ÁREA EXTERNA (Fórmulas exemplificativas de cálculo para área externa - alíneas "a", "c" , "d" e "e" do subitem 3.2 do Anexo VI-B; para as demais alíneas, deverão ser incluídos novos campos na planilha com a metragem adequada).
</t>
  </si>
  <si>
    <t>MÃO DE OBRA
       ENCARREGADO / SERVENTE</t>
  </si>
  <si>
    <t>(1)
PRODUTIVIDADE
(1/M²)</t>
  </si>
  <si>
    <t>(2)
PREÇO HOMEM-MÊS
(R$)</t>
  </si>
  <si>
    <r>
      <rPr>
        <sz val="10"/>
        <rFont val="Arial"/>
        <charset val="134"/>
      </rPr>
      <t xml:space="preserve">ENC. / Pisos pavimentados adjacentes/contíguos às edificações          </t>
    </r>
    <r>
      <rPr>
        <sz val="10"/>
        <color indexed="10"/>
        <rFont val="Arial"/>
        <charset val="134"/>
      </rPr>
      <t xml:space="preserve">   = 1/(30** x 2250*)</t>
    </r>
  </si>
  <si>
    <t>30</t>
  </si>
  <si>
    <r>
      <rPr>
        <sz val="10"/>
        <rFont val="Arial"/>
        <charset val="134"/>
      </rPr>
      <t xml:space="preserve">SERV. / Pisos pavimentados adjacentes/contíguos às edificações             </t>
    </r>
    <r>
      <rPr>
        <sz val="10"/>
        <color indexed="10"/>
        <rFont val="Arial"/>
        <charset val="134"/>
      </rPr>
      <t>= 1/2250*</t>
    </r>
  </si>
  <si>
    <r>
      <rPr>
        <sz val="10"/>
        <rFont val="Arial"/>
        <charset val="134"/>
      </rPr>
      <t>ENC. / Varrição de passeios e arruamentos</t>
    </r>
    <r>
      <rPr>
        <sz val="10"/>
        <color indexed="10"/>
        <rFont val="Arial"/>
        <charset val="134"/>
      </rPr>
      <t xml:space="preserve">  = 1/(30** x 7500*)</t>
    </r>
  </si>
  <si>
    <r>
      <rPr>
        <sz val="10"/>
        <rFont val="Arial"/>
        <charset val="134"/>
      </rPr>
      <t xml:space="preserve">SERV. / Varrição de passeios e arruamentos </t>
    </r>
    <r>
      <rPr>
        <sz val="10"/>
        <color indexed="10"/>
        <rFont val="Arial"/>
        <charset val="134"/>
      </rPr>
      <t>= 1/7500*</t>
    </r>
  </si>
  <si>
    <r>
      <rPr>
        <sz val="10"/>
        <rFont val="Arial"/>
        <charset val="134"/>
      </rPr>
      <t xml:space="preserve">ENC. / pátios e áreas verdes com alta frequência </t>
    </r>
    <r>
      <rPr>
        <sz val="10"/>
        <color indexed="10"/>
        <rFont val="Arial"/>
        <charset val="134"/>
      </rPr>
      <t>= 1/(30** x 2250*)</t>
    </r>
  </si>
  <si>
    <r>
      <rPr>
        <sz val="10"/>
        <rFont val="Arial"/>
        <charset val="134"/>
      </rPr>
      <t xml:space="preserve">SERV. / Pátios e áreas verdes com alta frequência </t>
    </r>
    <r>
      <rPr>
        <sz val="10"/>
        <color indexed="10"/>
        <rFont val="Arial"/>
        <charset val="134"/>
      </rPr>
      <t>= 1/2250*</t>
    </r>
  </si>
  <si>
    <r>
      <rPr>
        <sz val="10"/>
        <rFont val="Arial"/>
        <charset val="134"/>
      </rPr>
      <t xml:space="preserve">Enc. / Pátios e áreas verdes com média frequência </t>
    </r>
    <r>
      <rPr>
        <sz val="10"/>
        <color indexed="10"/>
        <rFont val="Arial"/>
        <charset val="134"/>
      </rPr>
      <t>= 1/(30** x 2250*)</t>
    </r>
  </si>
  <si>
    <r>
      <rPr>
        <sz val="10"/>
        <rFont val="Arial"/>
        <charset val="134"/>
      </rPr>
      <t xml:space="preserve">SERV. / Pátios e áreas verdes com média frequência </t>
    </r>
    <r>
      <rPr>
        <sz val="10"/>
        <color indexed="10"/>
        <rFont val="Arial"/>
        <charset val="134"/>
      </rPr>
      <t>= 1/2250*</t>
    </r>
  </si>
  <si>
    <r>
      <rPr>
        <sz val="10"/>
        <rFont val="Arial"/>
        <charset val="134"/>
      </rPr>
      <t xml:space="preserve">ENC. / Pátios e áreas verdes com baixa frequência </t>
    </r>
    <r>
      <rPr>
        <sz val="10"/>
        <color indexed="10"/>
        <rFont val="Arial"/>
        <charset val="134"/>
      </rPr>
      <t>= 1/(30** x 2250*)</t>
    </r>
  </si>
  <si>
    <t>1</t>
  </si>
  <si>
    <r>
      <rPr>
        <sz val="10"/>
        <rFont val="Arial"/>
        <charset val="134"/>
      </rPr>
      <t xml:space="preserve">SERV. / Pátios e áreas verdes com baixa frequência </t>
    </r>
    <r>
      <rPr>
        <sz val="10"/>
        <color indexed="10"/>
        <rFont val="Arial"/>
        <charset val="134"/>
      </rPr>
      <t>= 1/2250*</t>
    </r>
  </si>
  <si>
    <r>
      <rPr>
        <sz val="10"/>
        <rFont val="Arial"/>
        <charset val="134"/>
      </rPr>
      <t xml:space="preserve">ENC. / Coleta de detritos em pátio e áreas verdes com frequência diária </t>
    </r>
    <r>
      <rPr>
        <sz val="10"/>
        <color indexed="10"/>
        <rFont val="Arial"/>
        <charset val="134"/>
      </rPr>
      <t>= 1/(30** x 100000*)</t>
    </r>
  </si>
  <si>
    <r>
      <rPr>
        <sz val="10"/>
        <rFont val="Arial"/>
        <charset val="134"/>
      </rPr>
      <t xml:space="preserve">SERV. / Coleta de detritos em pátios e áreas verdes com frequência diária </t>
    </r>
    <r>
      <rPr>
        <sz val="10"/>
        <color indexed="10"/>
        <rFont val="Arial"/>
        <charset val="134"/>
      </rPr>
      <t>= 1/100000*</t>
    </r>
  </si>
  <si>
    <t>P = produtividade de referência do trabalhador prevista no subitem 3.2</t>
  </si>
  <si>
    <t xml:space="preserve">ESQUADRIA EXTERNA (Fórmulas exemplificativas de cálculo para esquadria externa - alíneas "b" e "c" do subitem 3.3 do Anexo VI-B; para as demais alíneas, deverão ser incluídos novos campos na planilha com a metragem adequada).
</t>
  </si>
  <si>
    <r>
      <rPr>
        <b/>
        <sz val="9"/>
        <rFont val="Arial"/>
        <charset val="134"/>
      </rPr>
      <t xml:space="preserve">MÃO DE OBRA 
       </t>
    </r>
    <r>
      <rPr>
        <b/>
        <sz val="8"/>
        <color indexed="8"/>
        <rFont val="Arial"/>
        <charset val="134"/>
      </rPr>
      <t>ENCARREGADO / SERVENTE</t>
    </r>
  </si>
  <si>
    <t>(1)
PRODUTIVIDADE 
(1/M²)</t>
  </si>
  <si>
    <t>(2) FREQUÊNCIA NO MÊS    (HORAS)      16 ***</t>
  </si>
  <si>
    <t>(3)
 JORNADA DE TRABALHO NO MÊS
 (HORAS)</t>
  </si>
  <si>
    <t>(4) 
= (1 X 2 X 3)
Ki****</t>
  </si>
  <si>
    <t>(5)
PREÇO HOMEM-MÊS 
(R$)</t>
  </si>
  <si>
    <t>(6) = (4 X 5)
 SUBTOTAL
 (R$/M²)</t>
  </si>
  <si>
    <t>ENC. / Face externa com exposição a situação de risco = 1/(30**x145)</t>
  </si>
  <si>
    <t>188,76</t>
  </si>
  <si>
    <t>SERV. / Face externa com exposição a situação de risco = 1/145*</t>
  </si>
  <si>
    <t>ENC. / Face externa sem exposição a situação de risco = 1/(30**x340*)</t>
  </si>
  <si>
    <t>SERV. / Face externa sem exposição a situação de risco = 1/340*</t>
  </si>
  <si>
    <r>
      <rPr>
        <sz val="10"/>
        <rFont val="Arial"/>
        <charset val="134"/>
      </rPr>
      <t xml:space="preserve">ENC. / Face interna               </t>
    </r>
    <r>
      <rPr>
        <sz val="10"/>
        <color indexed="10"/>
        <rFont val="Arial"/>
        <charset val="134"/>
      </rPr>
      <t>= 1/(30**x340)</t>
    </r>
  </si>
  <si>
    <r>
      <rPr>
        <sz val="10"/>
        <rFont val="Arial"/>
        <charset val="134"/>
      </rPr>
      <t xml:space="preserve">SERV. / Face interna </t>
    </r>
    <r>
      <rPr>
        <sz val="10"/>
        <color indexed="10"/>
        <rFont val="Arial"/>
        <charset val="134"/>
      </rPr>
      <t>= 1/340*</t>
    </r>
  </si>
  <si>
    <t>P = produtividade de referência do trabalhador prevista no subitem 3.3</t>
  </si>
  <si>
    <t>FACHADA ENVIDRAÇADA – FACE EXTERNA</t>
  </si>
  <si>
    <t>(1)
PRODUTIVIDADE (1/M²)</t>
  </si>
  <si>
    <t>(2) FREQUÊNCIA NO SEMESTRE (HORAS) 8 ***</t>
  </si>
  <si>
    <t>(3)
JORNADA DE TRABALHO NO SEMESTRE (HORAS)</t>
  </si>
  <si>
    <t>(4) 
= (1 X 2 X 3)                               Ke****</t>
  </si>
  <si>
    <t>(5) PREÇO HOMEM-MÊS (R$)</t>
  </si>
  <si>
    <t>(4 X 5)
                  SUBTOTAL                      (R$/M²)</t>
  </si>
  <si>
    <r>
      <rPr>
        <sz val="10"/>
        <rFont val="Arial"/>
        <charset val="134"/>
      </rPr>
      <t>Encarregado</t>
    </r>
    <r>
      <rPr>
        <sz val="10"/>
        <color indexed="10"/>
        <rFont val="Arial"/>
        <charset val="134"/>
      </rPr>
      <t xml:space="preserve">      = 1/(4**x145*)</t>
    </r>
  </si>
  <si>
    <r>
      <rPr>
        <sz val="10"/>
        <rFont val="Arial"/>
        <charset val="134"/>
      </rPr>
      <t xml:space="preserve">Servente </t>
    </r>
    <r>
      <rPr>
        <sz val="10"/>
        <color indexed="10"/>
        <rFont val="Arial"/>
        <charset val="134"/>
      </rPr>
      <t>= 1/145*</t>
    </r>
  </si>
  <si>
    <t>P = produtividade de referência do trabalhador prevista no subitem 3.4</t>
  </si>
  <si>
    <t>ÁREA MÉDICO- HOSPITALAR E ASSEMELHADOS</t>
  </si>
  <si>
    <t>MÃO DE OBRA
ENCARREGADO / SERVENTE</t>
  </si>
  <si>
    <t>(2)
PREÇO HOMEM-MÊS        (R$)</t>
  </si>
  <si>
    <r>
      <rPr>
        <sz val="10"/>
        <rFont val="Arial"/>
        <charset val="134"/>
      </rPr>
      <t xml:space="preserve">Encarregado </t>
    </r>
    <r>
      <rPr>
        <sz val="10"/>
        <color indexed="10"/>
        <rFont val="Arial"/>
        <charset val="134"/>
      </rPr>
      <t>= 1(30** x 405*)</t>
    </r>
  </si>
  <si>
    <r>
      <rPr>
        <sz val="10"/>
        <rFont val="Arial"/>
        <charset val="134"/>
      </rPr>
      <t xml:space="preserve">Servente </t>
    </r>
    <r>
      <rPr>
        <sz val="10"/>
        <color indexed="10"/>
        <rFont val="Arial"/>
        <charset val="134"/>
      </rPr>
      <t>= 1/405*</t>
    </r>
  </si>
  <si>
    <t>P = produtividade de referência do trabalhador prevista no subitem 3.5</t>
  </si>
  <si>
    <t>4. VALOR MENSAL DOS SERVIÇOS</t>
  </si>
  <si>
    <t>PREÇO MENSAL UNITÁRIO (R$/M²)</t>
  </si>
  <si>
    <t>ÁREA
(M²)</t>
  </si>
  <si>
    <t>SUBTOTAL
(R$)</t>
  </si>
  <si>
    <t>e) Áreas internas - parquet</t>
  </si>
  <si>
    <t xml:space="preserve">g) Áreas internas -  Banheiros </t>
  </si>
  <si>
    <t>b) Áreas externas - Varrição de passeios e arruamentos</t>
  </si>
  <si>
    <t>c) Área externa - Pátios e áreas verdes com alta frequência</t>
  </si>
  <si>
    <t>d) Áreas externas - Pátios e áreas verdes com média frequência</t>
  </si>
  <si>
    <t>e) Áreas externas - Pátios e áreas verdes com baixa frequência</t>
  </si>
  <si>
    <t>f) Áreas externas - Coleta de detritos em pátios e áreas verdes com frequência diária</t>
  </si>
  <si>
    <t>b) Áreas externas - Face externa sem exposição a situação de risco</t>
  </si>
  <si>
    <t>c) Áreas externas - Face interna</t>
  </si>
  <si>
    <t>TOTAL DA ESQUADRIA EXTERNA</t>
  </si>
  <si>
    <t>a) Fachadas envidraçadas</t>
  </si>
  <si>
    <t>TOTAL DA FACHADA ENVIDRAÇADA</t>
  </si>
  <si>
    <t>TOTAL DAS ÁREAS HOSPITALES E ASSEMELHADAS</t>
  </si>
  <si>
    <t>Valor mensal do serviço</t>
  </si>
  <si>
    <t>Número de meses do contrato</t>
  </si>
  <si>
    <r>
      <rPr>
        <b/>
        <sz val="14"/>
        <rFont val="Arial"/>
        <charset val="134"/>
      </rPr>
      <t xml:space="preserve">Valor global da proposta </t>
    </r>
    <r>
      <rPr>
        <b/>
        <sz val="10"/>
        <rFont val="Arial"/>
        <charset val="134"/>
      </rPr>
      <t>(valor mensal do serviço x nº de meses do contrato)</t>
    </r>
  </si>
  <si>
    <t>QUANTIDADE DE PESSOAL ALOCADO NA EXECUÇÃO CONTRATUAL (item 6.2.e do Anexo VII da IN nº 5/2017)</t>
  </si>
  <si>
    <t>Tipo de Mão de Obra</t>
  </si>
  <si>
    <t>Quantidade de Pessoal</t>
  </si>
  <si>
    <t>Servente</t>
  </si>
  <si>
    <t>Encarregado</t>
  </si>
  <si>
    <t xml:space="preserve"> MATERIAIS, MÁQUINAS E EQUIPAMENTOS ALOCADOS NA EXECUÇÃO CONTRATUAL  (item 6.2.f do Anexo VII da IN nº 5/2017)</t>
  </si>
  <si>
    <t>Especificação dos Materiais/Máquinas/Equipamentos</t>
  </si>
  <si>
    <t xml:space="preserve">Quantidade </t>
  </si>
  <si>
    <r>
      <rPr>
        <b/>
        <sz val="10"/>
        <rFont val="Arial"/>
        <charset val="134"/>
      </rPr>
      <t xml:space="preserve">Dia: </t>
    </r>
    <r>
      <rPr>
        <b/>
        <sz val="10"/>
        <color indexed="10"/>
        <rFont val="Arial"/>
        <charset val="134"/>
      </rPr>
      <t>02/02/2019 às 14h30min</t>
    </r>
  </si>
  <si>
    <r>
      <rPr>
        <b/>
        <sz val="10"/>
        <rFont val="Arial"/>
        <charset val="134"/>
      </rPr>
      <t xml:space="preserve">Seguro contra riscos de acidente de trabalho </t>
    </r>
    <r>
      <rPr>
        <b/>
        <sz val="10"/>
        <color rgb="FFFF0000"/>
        <rFont val="Arial"/>
        <charset val="134"/>
      </rPr>
      <t>Cálculo do valor = R$ 7.000,00x0,1068%</t>
    </r>
    <r>
      <rPr>
        <b/>
        <sz val="10"/>
        <rFont val="Arial"/>
        <charset val="134"/>
      </rPr>
      <t xml:space="preserve"> </t>
    </r>
  </si>
  <si>
    <r>
      <rPr>
        <b/>
        <sz val="10"/>
        <rFont val="Arial"/>
        <charset val="134"/>
      </rPr>
      <t xml:space="preserve">Plano de Benefício Social Familiar (cláusula 22 da CCT 2019)  </t>
    </r>
    <r>
      <rPr>
        <b/>
        <sz val="10"/>
        <color rgb="FFFF0000"/>
        <rFont val="Arial"/>
        <charset val="134"/>
      </rPr>
      <t xml:space="preserve">Cálculo do valor = R$ 15,02 </t>
    </r>
  </si>
  <si>
    <r>
      <rPr>
        <b/>
        <sz val="10"/>
        <rFont val="Arial"/>
        <charset val="134"/>
      </rPr>
      <t>13º (décimo terceiro) Salário</t>
    </r>
    <r>
      <rPr>
        <b/>
        <sz val="10"/>
        <color rgb="FFFF0000"/>
        <rFont val="Arial"/>
        <charset val="134"/>
      </rPr>
      <t xml:space="preserve"> </t>
    </r>
    <r>
      <rPr>
        <b/>
        <sz val="10"/>
        <rFont val="Arial"/>
        <charset val="134"/>
      </rPr>
      <t>e Adicional de Férias</t>
    </r>
  </si>
  <si>
    <t xml:space="preserve">Nota 1: A alínea "A" referente as férias para a composição da Base de Cálculo do Custo do Profissional Ausente (BCCPA),  está zerada porque a Administração tem as atividades reduzidas no período correspondente entre dezembro e fevereiro. Sendo assim, o IFRS Campus Poa tem intuito de agendar as férias dos terceirizados, sem reposição, para o período de recesso acima informado.                                                                                                      Nota 2: A alínea “F” refere-se somente ao custo que será pago ao repositor pelos dias trabalhados quando da necessidade de substituir a mão de obra alocada na prestação do serviço.                                                                                                                                                                                                                         </t>
  </si>
  <si>
    <t>e) Áreas internas - Oficinas</t>
  </si>
  <si>
    <r>
      <rPr>
        <b/>
        <sz val="10"/>
        <rFont val="Arial"/>
        <charset val="134"/>
      </rPr>
      <t xml:space="preserve">QUANTIDADE DE PESSOAL ALOCADO NA EXECUÇÃO CONTRATUAL (item 6.2.e do Anexo VII da IN nº 5/2017  e </t>
    </r>
    <r>
      <rPr>
        <b/>
        <sz val="10"/>
        <color indexed="10"/>
        <rFont val="Arial"/>
        <charset val="134"/>
      </rPr>
      <t>item 6.5.4."e" do edital)</t>
    </r>
  </si>
  <si>
    <r>
      <rPr>
        <b/>
        <sz val="18"/>
        <color rgb="FF800080"/>
        <rFont val="Arial"/>
        <charset val="134"/>
      </rPr>
      <t xml:space="preserve">LIMPEZA - Regime de Tributação: </t>
    </r>
    <r>
      <rPr>
        <b/>
        <sz val="18"/>
        <color rgb="FF0000FF"/>
        <rFont val="Arial"/>
        <charset val="134"/>
      </rPr>
      <t>Lucro Real</t>
    </r>
    <r>
      <rPr>
        <b/>
        <sz val="18"/>
        <color rgb="FF800080"/>
        <rFont val="Arial"/>
        <charset val="134"/>
      </rPr>
      <t xml:space="preserve"> </t>
    </r>
  </si>
  <si>
    <t xml:space="preserve">ANEXO ----  – 40% de Insalubridade
MODELO DE PLANILHA DE CUSTOS E FORMAÇÃO DE PREÇOS  </t>
  </si>
  <si>
    <t>ENCARREGADO</t>
  </si>
  <si>
    <t>Prestação de serviços de limpeza para o IFRS - Campus Porto Alegre</t>
  </si>
  <si>
    <r>
      <rPr>
        <b/>
        <sz val="10"/>
        <rFont val="Arial"/>
        <charset val="134"/>
      </rPr>
      <t xml:space="preserve">Dia: </t>
    </r>
    <r>
      <rPr>
        <b/>
        <sz val="10"/>
        <color indexed="10"/>
        <rFont val="Arial"/>
        <charset val="134"/>
      </rPr>
      <t>29/12/2017 às 14h30min</t>
    </r>
  </si>
  <si>
    <t>PORTO ALEGRE</t>
  </si>
  <si>
    <t xml:space="preserve">Quantidade total a contratar (Em função da unidade de medida) </t>
  </si>
  <si>
    <t>a) Banheiros - Insalubridade de 40%</t>
  </si>
  <si>
    <r>
      <rPr>
        <b/>
        <sz val="10"/>
        <rFont val="Arial"/>
        <charset val="134"/>
      </rPr>
      <t xml:space="preserve">Salário-Base   </t>
    </r>
    <r>
      <rPr>
        <b/>
        <sz val="10"/>
        <color indexed="10"/>
        <rFont val="Arial"/>
        <charset val="134"/>
      </rPr>
      <t xml:space="preserve"> (valor para somente 1 servente de limpeza) 
</t>
    </r>
    <r>
      <rPr>
        <b/>
        <sz val="10"/>
        <rFont val="Arial"/>
        <charset val="134"/>
      </rPr>
      <t xml:space="preserve">            </t>
    </r>
    <r>
      <rPr>
        <b/>
        <sz val="10"/>
        <color indexed="12"/>
        <rFont val="Arial"/>
        <charset val="134"/>
      </rPr>
      <t xml:space="preserve"> para a jornada de 44 horas semanais</t>
    </r>
    <r>
      <rPr>
        <b/>
        <sz val="10"/>
        <rFont val="Arial"/>
        <charset val="134"/>
      </rPr>
      <t xml:space="preserve"> </t>
    </r>
    <r>
      <rPr>
        <b/>
        <sz val="10"/>
        <color indexed="10"/>
        <rFont val="Arial"/>
        <charset val="134"/>
      </rPr>
      <t>Cálculo do valor: (44/6)x30xR$(SB/220)</t>
    </r>
  </si>
  <si>
    <r>
      <rPr>
        <b/>
        <sz val="10"/>
        <rFont val="Arial"/>
        <charset val="134"/>
      </rPr>
      <t xml:space="preserve">Adicional de Periculosidade </t>
    </r>
    <r>
      <rPr>
        <b/>
        <sz val="10"/>
        <color indexed="12"/>
        <rFont val="Arial"/>
        <charset val="134"/>
      </rPr>
      <t>(excluir esta linha, como regra)</t>
    </r>
  </si>
  <si>
    <t>Adicional de Insalubridade (40% do SB - cláusula 1859 da CCT SINDASSEIO/POA 2018)</t>
  </si>
  <si>
    <r>
      <rPr>
        <b/>
        <sz val="10"/>
        <rFont val="Arial"/>
        <charset val="134"/>
      </rPr>
      <t xml:space="preserve">Adicional de Hora Extra no Feriado Trabalhado </t>
    </r>
    <r>
      <rPr>
        <b/>
        <sz val="10"/>
        <color indexed="12"/>
        <rFont val="Arial"/>
        <charset val="134"/>
      </rPr>
      <t>(excluir esta linha, como regra)</t>
    </r>
  </si>
  <si>
    <t>Adicional por função de Encarregado ( 10% do SB)</t>
  </si>
  <si>
    <t>Submódulo 2.1 – 13º (décimo terceiro) Salário e Adicional de Férias</t>
  </si>
  <si>
    <t>13º (décimo terceiro) Salário e Adicional de Férias</t>
  </si>
  <si>
    <r>
      <rPr>
        <b/>
        <sz val="10"/>
        <rFont val="Arial"/>
        <charset val="134"/>
      </rPr>
      <t xml:space="preserve">(Férias??? e) Adicional de Férias  </t>
    </r>
    <r>
      <rPr>
        <b/>
        <sz val="10"/>
        <color indexed="10"/>
        <rFont val="Arial"/>
        <charset val="134"/>
      </rPr>
      <t>Cálculo do valor = [(Rem/3)/12]</t>
    </r>
  </si>
  <si>
    <r>
      <rPr>
        <sz val="9"/>
        <rFont val="Arial"/>
        <charset val="134"/>
      </rPr>
      <t>Nota 1: Os percentuais dos encargos previdenciários, do FGTS e demais contribuições são aqueles estabelecidos pela legislação vigente.
Nota 2: O SAT a depender do grau de risco do serviço irá variar entre 1%, para risco leve, de 2% para risco médio, e de 3% para risco grave.
Nota 3: Esses percentuais incidem sobre o Módulo 1, o Submódulo 2.1, o</t>
    </r>
    <r>
      <rPr>
        <sz val="9"/>
        <color indexed="19"/>
        <rFont val="Arial"/>
        <charset val="134"/>
      </rPr>
      <t xml:space="preserve"> </t>
    </r>
    <r>
      <rPr>
        <sz val="9"/>
        <color indexed="10"/>
        <rFont val="Arial"/>
        <charset val="134"/>
      </rPr>
      <t>Módulo 3 (???)</t>
    </r>
    <r>
      <rPr>
        <sz val="9"/>
        <rFont val="Arial"/>
        <charset val="134"/>
      </rPr>
      <t>, o Módulo 4 e o</t>
    </r>
    <r>
      <rPr>
        <sz val="9"/>
        <color indexed="19"/>
        <rFont val="Arial"/>
        <charset val="134"/>
      </rPr>
      <t xml:space="preserve"> </t>
    </r>
    <r>
      <rPr>
        <sz val="9"/>
        <color indexed="10"/>
        <rFont val="Arial"/>
        <charset val="134"/>
      </rPr>
      <t>Módulo 6 (???)</t>
    </r>
    <r>
      <rPr>
        <sz val="9"/>
        <color indexed="19"/>
        <rFont val="Arial"/>
        <charset val="134"/>
      </rPr>
      <t>.</t>
    </r>
  </si>
  <si>
    <r>
      <rPr>
        <b/>
        <sz val="10"/>
        <rFont val="Arial"/>
        <charset val="134"/>
      </rPr>
      <t xml:space="preserve">Auxílio-Refeição/Alimentação </t>
    </r>
    <r>
      <rPr>
        <b/>
        <sz val="10"/>
        <color indexed="10"/>
        <rFont val="Arial"/>
        <charset val="134"/>
      </rPr>
      <t>Cálculo do valor = [(22xVA)x(1-</t>
    </r>
    <r>
      <rPr>
        <b/>
        <sz val="10"/>
        <color indexed="12"/>
        <rFont val="Arial"/>
        <charset val="134"/>
      </rPr>
      <t>0,175</t>
    </r>
    <r>
      <rPr>
        <b/>
        <sz val="10"/>
        <color indexed="10"/>
        <rFont val="Arial"/>
        <charset val="134"/>
      </rPr>
      <t>)]</t>
    </r>
  </si>
  <si>
    <t xml:space="preserve">      B.1) Valor do auxílio-alimentação (clausula 20 da CCT 2017): </t>
  </si>
  <si>
    <r>
      <rPr>
        <b/>
        <sz val="10"/>
        <rFont val="Arial"/>
        <charset val="134"/>
      </rPr>
      <t xml:space="preserve">Plano de Benefício Social Familiar (cláusula 24 da CCT 2017)  </t>
    </r>
    <r>
      <rPr>
        <b/>
        <sz val="10"/>
        <color indexed="10"/>
        <rFont val="Arial"/>
        <charset val="134"/>
      </rPr>
      <t xml:space="preserve">Cálculo do valor = R$ 10,06 </t>
    </r>
    <r>
      <rPr>
        <b/>
        <sz val="10"/>
        <color indexed="39"/>
        <rFont val="Arial"/>
        <charset val="134"/>
      </rPr>
      <t>Sem participação do empregado</t>
    </r>
  </si>
  <si>
    <r>
      <rPr>
        <b/>
        <sz val="10"/>
        <rFont val="Arial"/>
        <charset val="134"/>
      </rPr>
      <t xml:space="preserve">Multa do FGTS e contribuição social sobre o Aviso Prévio Indenizado                                             </t>
    </r>
    <r>
      <rPr>
        <b/>
        <sz val="10"/>
        <color indexed="10"/>
        <rFont val="Arial"/>
        <charset val="134"/>
      </rPr>
      <t>Cálculo do valor = [50%x8%x(Rem+13º+Férias+1/3xFérias)]x5% de rotatividade</t>
    </r>
  </si>
  <si>
    <r>
      <rPr>
        <b/>
        <sz val="10"/>
        <rFont val="Arial"/>
        <charset val="134"/>
      </rPr>
      <t xml:space="preserve">Multa do FGTS e contribuição social  sobre o Aviso Prévio Trabalhado                                            </t>
    </r>
    <r>
      <rPr>
        <b/>
        <sz val="10"/>
        <color indexed="10"/>
        <rFont val="Arial"/>
        <charset val="134"/>
      </rPr>
      <t>Cálculo do valor = [50%x8%x(Rem+13º+Férias+1/3xFérias)]x90% dos empregados</t>
    </r>
  </si>
  <si>
    <r>
      <rPr>
        <b/>
        <sz val="11"/>
        <color indexed="12"/>
        <rFont val="Arial"/>
        <charset val="134"/>
      </rPr>
      <t xml:space="preserve">Base de cálculo para o Custo de Reposição do Profissional Ausente (substituto): BCCPA = Rem + 13º + Férias + 1/3Férias
</t>
    </r>
    <r>
      <rPr>
        <sz val="10"/>
        <rFont val="Arial"/>
        <charset val="134"/>
      </rPr>
      <t>Conforme item 89 do Relatório do Acórdão TCU n 1.753/2008 do Plenário</t>
    </r>
  </si>
  <si>
    <t xml:space="preserve">Nota 1: A alínea "A" referente as férias para a composição da Base de Cálculo do Custo do Profissional Ausente (BCCPA),  está zerada porque a Administração tem as atividades reduzidas no período correspondente entre dezembro e fevereiro. Sendo assim, o IFRS Campus Poa tem intuito de agendar as férias dos terceirizados, sem reposição, para o período de recesso acima informado.                                                                                                    Nota 2: A alínea “F” refere-se somente ao custo que será pago ao repositor pelos dias trabalhados quando da necessidade de substituir a mão de obra alocada na prestação do serviço.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</si>
  <si>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10"/>
        <rFont val="Arial"/>
        <charset val="134"/>
      </rPr>
      <t xml:space="preserve">  a) Cofins  </t>
    </r>
    <r>
      <rPr>
        <sz val="10"/>
        <color rgb="FFFF0000"/>
        <rFont val="Arial"/>
        <charset val="134"/>
      </rPr>
      <t>(depende do regime de tributação - utilizada a hipótese de Lucro presumido)</t>
    </r>
  </si>
  <si>
    <r>
      <rPr>
        <b/>
        <sz val="10"/>
        <rFont val="Arial"/>
        <charset val="134"/>
      </rPr>
      <t xml:space="preserve">  b) PIS </t>
    </r>
    <r>
      <rPr>
        <sz val="10"/>
        <color rgb="FFFF0000"/>
        <rFont val="Arial"/>
        <charset val="134"/>
      </rPr>
      <t>(depende do regime de tributação - utilizada a hipótese de Lucro presumido)</t>
    </r>
  </si>
  <si>
    <t>ENC. / Banheiros = 1(30**x250*)</t>
  </si>
  <si>
    <t>SERV. / Banheiros = 1/250*</t>
  </si>
  <si>
    <r>
      <rPr>
        <sz val="9"/>
        <rFont val="Arial"/>
        <charset val="134"/>
      </rPr>
      <t xml:space="preserve">* Caso as produtividades mínimas adotadas sejam diferentes, estes valores das planilhas, bem como os coeficientes deles decorrentes (Ki e Ke) deverão ser adequados à nova situação.
** Caso a relação entre serventes e encarregado seja diferente, os valores das planilhas, bem como os coeficientes deles decorrentes (Ki e Ke) deverão ser adequados à nova situação.
*** Frequência sugerida em horas por mês. Caso a frequência adotada em horas, por mês ou semestre, seja diferente, os valores, bem como os coeficientes deles decorrentes (Ki e Ke) deverão ser adequados à nova situação. </t>
    </r>
    <r>
      <rPr>
        <sz val="14"/>
        <color indexed="10"/>
        <rFont val="Arial"/>
        <charset val="134"/>
      </rPr>
      <t xml:space="preserve">(notas que devem ser retiradas da planilha) </t>
    </r>
  </si>
  <si>
    <t>c) Áreas Banheiros</t>
  </si>
  <si>
    <t>TOTAL DA ÁREA DE BANHEIROS</t>
  </si>
  <si>
    <t xml:space="preserve"> MATERIAIS, MÁQUINAS E EQUIPAMENTOS ALOCADOS NA EXECUÇÃO CONTRATUAL Já previstos na aba de planilha aba geral. Esta planilha prevê apenas uniformes, conforme descrição prevista no ANEXO de execução de São Vicente do Sul.</t>
  </si>
  <si>
    <t>Instituto Federal de Educação, Ciência e Tecnologia Farroupilha - IFFar</t>
  </si>
  <si>
    <t>Anexo  -  Resumo da Proposta</t>
  </si>
  <si>
    <t>TIPO DE SERVIÇO</t>
  </si>
  <si>
    <t>Quantidade de Postos/Mão de Obra a ser alocados</t>
  </si>
  <si>
    <t>VALOR TOTAL POR MÊS (R$)</t>
  </si>
  <si>
    <t>VALOR TOTAL 20 MESES (R$)</t>
  </si>
  <si>
    <t>Serviços de Limpeza e Conservação, SEM banheiros. Postos com jornada de 44h semanais e 8h diárias de seg a sexta, e 4h no sábado.</t>
  </si>
  <si>
    <t>Serviços de Limpeza e Conservação, COM banheiros. Postos com jornada de 44h semanais e 8h diárias de seg a sexta, e 4h no sábado.</t>
  </si>
  <si>
    <t>Serviços de Limpeza e Conservação. Posto  de 01 encarregado com jornada de 44h semanais e 8h diárias de seg a sexta, e 4h no sábado.</t>
  </si>
  <si>
    <t>Declaro para devidos fins que:</t>
  </si>
  <si>
    <t>1. Estou CIENTE e de ACORDO com as condições previstas Projeto Básico.</t>
  </si>
  <si>
    <t>2. Que não emprego menor de 18 anos em trabalho noturno, perigoso ou insalubre e não emprega menor de 16 anos, salvo menor, a partir de 14 anos, na condição de aprendiz, nos termos do artigo 7°, XXXIII, da Constituição.</t>
  </si>
  <si>
    <t>3. Que a proposta foi elaborada de forma independente, nos termos da Instrução Normativa SLTI/MP nº 2, de 16 de setembro de 2009.</t>
  </si>
  <si>
    <t>4. Que não possuo, em sua cadeia produtiva, empregados executando trabalho degradante ou forçado, observando o disposto nos incisos III e IV do art. 1º e no inciso III do art. 5º da Constituição Federal.</t>
  </si>
  <si>
    <t>5. Que para elaboração da presenta proposta foram considereados todos os custos diretos, indiretos, impostos, despesas de pessoa e insumos.</t>
  </si>
  <si>
    <t>6. Que a validade da presente proposta é de 60 dias.</t>
  </si>
  <si>
    <t xml:space="preserve">          Carimbo</t>
  </si>
</sst>
</file>

<file path=xl/styles.xml><?xml version="1.0" encoding="utf-8"?>
<styleSheet xmlns="http://schemas.openxmlformats.org/spreadsheetml/2006/main">
  <numFmts count="17">
    <numFmt numFmtId="44" formatCode="_-&quot;£&quot;* #,##0.00_-;\-&quot;£&quot;* #,##0.00_-;_-&quot;£&quot;* &quot;-&quot;??_-;_-@_-"/>
    <numFmt numFmtId="176" formatCode="_(* #,##0.00_);_(* \(#,##0.00\);_(* \-??_);_(@_)"/>
    <numFmt numFmtId="177" formatCode="#,##0.0"/>
    <numFmt numFmtId="178" formatCode="&quot;R$&quot;\ #,##0.00;[Red]\-&quot;R$&quot;\ #,##0.00"/>
    <numFmt numFmtId="42" formatCode="_-&quot;£&quot;* #,##0_-;\-&quot;£&quot;* #,##0_-;_-&quot;£&quot;* &quot;-&quot;_-;_-@_-"/>
    <numFmt numFmtId="179" formatCode="_(&quot;R$ &quot;* #,##0.00_);_(&quot;R$ &quot;* \(#,##0.00\);_(&quot;R$ &quot;* \-??_);_(@_)"/>
    <numFmt numFmtId="180" formatCode="_ * #,##0.00_ ;_ * \-#,##0.00_ ;_ * &quot;-&quot;??_ ;_ @_ "/>
    <numFmt numFmtId="41" formatCode="_-* #,##0_-;\-* #,##0_-;_-* &quot;-&quot;_-;_-@_-"/>
    <numFmt numFmtId="181" formatCode="#,##0.00;[Red]#,##0.00"/>
    <numFmt numFmtId="182" formatCode="&quot;R$&quot;\ #,##0.00"/>
    <numFmt numFmtId="183" formatCode="0.0000%"/>
    <numFmt numFmtId="184" formatCode="dd/mm/yy;@"/>
    <numFmt numFmtId="185" formatCode="0.0"/>
    <numFmt numFmtId="186" formatCode="&quot;R$ &quot;#,##0.00"/>
    <numFmt numFmtId="187" formatCode="0.0000"/>
    <numFmt numFmtId="188" formatCode="#,##0.0000000"/>
    <numFmt numFmtId="189" formatCode="0.0%"/>
  </numFmts>
  <fonts count="78">
    <font>
      <sz val="11"/>
      <color theme="1"/>
      <name val="Calibri"/>
      <charset val="134"/>
      <scheme val="minor"/>
    </font>
    <font>
      <sz val="10"/>
      <name val="Arial"/>
      <charset val="134"/>
    </font>
    <font>
      <sz val="9"/>
      <color indexed="8"/>
      <name val="Arial"/>
      <charset val="134"/>
    </font>
    <font>
      <b/>
      <sz val="10"/>
      <color rgb="FF000000"/>
      <name val="Arial"/>
      <charset val="134"/>
    </font>
    <font>
      <b/>
      <sz val="16"/>
      <color rgb="FF000000"/>
      <name val="Arial"/>
      <charset val="134"/>
    </font>
    <font>
      <b/>
      <sz val="14"/>
      <color rgb="FF000000"/>
      <name val="Arial"/>
      <charset val="134"/>
    </font>
    <font>
      <b/>
      <sz val="12"/>
      <color rgb="FF000000"/>
      <name val="Arial"/>
      <charset val="134"/>
    </font>
    <font>
      <b/>
      <sz val="18"/>
      <color rgb="FF000000"/>
      <name val="Arial"/>
      <charset val="134"/>
    </font>
    <font>
      <b/>
      <sz val="12"/>
      <name val="Arial"/>
      <charset val="134"/>
    </font>
    <font>
      <sz val="12"/>
      <name val="Arial"/>
      <charset val="134"/>
    </font>
    <font>
      <sz val="14"/>
      <name val="Arial"/>
      <charset val="134"/>
    </font>
    <font>
      <b/>
      <sz val="14"/>
      <name val="Arial"/>
      <charset val="134"/>
    </font>
    <font>
      <sz val="9"/>
      <name val="Arial"/>
      <charset val="134"/>
    </font>
    <font>
      <sz val="11"/>
      <name val="Arial"/>
      <charset val="134"/>
    </font>
    <font>
      <b/>
      <sz val="18"/>
      <color rgb="FF800080"/>
      <name val="Arial"/>
      <charset val="134"/>
    </font>
    <font>
      <b/>
      <sz val="18"/>
      <color indexed="20"/>
      <name val="Arial"/>
      <charset val="134"/>
    </font>
    <font>
      <b/>
      <sz val="18"/>
      <name val="Arial"/>
      <charset val="134"/>
    </font>
    <font>
      <b/>
      <sz val="10"/>
      <name val="Arial"/>
      <charset val="134"/>
    </font>
    <font>
      <b/>
      <sz val="10"/>
      <color indexed="10"/>
      <name val="Arial"/>
      <charset val="134"/>
    </font>
    <font>
      <b/>
      <sz val="11"/>
      <name val="Arial"/>
      <charset val="134"/>
    </font>
    <font>
      <b/>
      <sz val="15"/>
      <name val="Arial"/>
      <charset val="134"/>
    </font>
    <font>
      <b/>
      <sz val="11"/>
      <color indexed="10"/>
      <name val="Arial"/>
      <charset val="134"/>
    </font>
    <font>
      <b/>
      <sz val="10"/>
      <color indexed="8"/>
      <name val="Arial"/>
      <charset val="134"/>
    </font>
    <font>
      <b/>
      <sz val="10"/>
      <color indexed="21"/>
      <name val="Arial"/>
      <charset val="134"/>
    </font>
    <font>
      <b/>
      <strike/>
      <sz val="10"/>
      <color indexed="19"/>
      <name val="Arial"/>
      <charset val="134"/>
    </font>
    <font>
      <b/>
      <sz val="11"/>
      <color indexed="12"/>
      <name val="Arial"/>
      <charset val="134"/>
    </font>
    <font>
      <b/>
      <sz val="9"/>
      <color indexed="10"/>
      <name val="Arial"/>
      <charset val="134"/>
    </font>
    <font>
      <b/>
      <sz val="9"/>
      <name val="Arial"/>
      <charset val="134"/>
    </font>
    <font>
      <b/>
      <sz val="10"/>
      <color indexed="53"/>
      <name val="Arial"/>
      <charset val="134"/>
    </font>
    <font>
      <b/>
      <sz val="14"/>
      <color indexed="10"/>
      <name val="Arial"/>
      <charset val="134"/>
    </font>
    <font>
      <b/>
      <sz val="10"/>
      <color rgb="FFFF0000"/>
      <name val="Arial"/>
      <charset val="134"/>
    </font>
    <font>
      <sz val="10"/>
      <color indexed="8"/>
      <name val="Arial"/>
      <charset val="134"/>
    </font>
    <font>
      <b/>
      <sz val="10"/>
      <color indexed="25"/>
      <name val="Arial"/>
      <charset val="134"/>
    </font>
    <font>
      <sz val="10"/>
      <color indexed="10"/>
      <name val="Arial"/>
      <charset val="134"/>
    </font>
    <font>
      <b/>
      <sz val="12"/>
      <color indexed="12"/>
      <name val="Arial"/>
      <charset val="134"/>
    </font>
    <font>
      <b/>
      <sz val="15"/>
      <color indexed="10"/>
      <name val="Arial"/>
      <charset val="134"/>
    </font>
    <font>
      <sz val="11"/>
      <color theme="1"/>
      <name val="Arial"/>
      <charset val="134"/>
    </font>
    <font>
      <b/>
      <sz val="14"/>
      <color indexed="18"/>
      <name val="Arial"/>
      <charset val="134"/>
    </font>
    <font>
      <b/>
      <sz val="10"/>
      <color indexed="18"/>
      <name val="Arial"/>
      <charset val="134"/>
    </font>
    <font>
      <sz val="10"/>
      <color theme="1"/>
      <name val="Arial"/>
      <charset val="134"/>
    </font>
    <font>
      <b/>
      <sz val="10"/>
      <color rgb="FF000080"/>
      <name val="Arial"/>
      <charset val="134"/>
    </font>
    <font>
      <b/>
      <sz val="15"/>
      <color rgb="FF000080"/>
      <name val="Arial"/>
      <charset val="134"/>
    </font>
    <font>
      <sz val="10"/>
      <color rgb="FF000000"/>
      <name val="Arial"/>
      <charset val="134"/>
    </font>
    <font>
      <b/>
      <sz val="15"/>
      <color indexed="18"/>
      <name val="Arial"/>
      <charset val="134"/>
    </font>
    <font>
      <b/>
      <sz val="10"/>
      <color indexed="12"/>
      <name val="Arial"/>
      <charset val="134"/>
    </font>
    <font>
      <sz val="15"/>
      <name val="Arial"/>
      <charset val="134"/>
    </font>
    <font>
      <sz val="10"/>
      <color rgb="FFFF0000"/>
      <name val="Arial"/>
      <charset val="134"/>
    </font>
    <font>
      <sz val="10"/>
      <color theme="1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rgb="FF0000FF"/>
      <name val="Arial"/>
      <charset val="134"/>
    </font>
    <font>
      <b/>
      <sz val="8"/>
      <color indexed="10"/>
      <name val="Arial"/>
      <charset val="134"/>
    </font>
    <font>
      <sz val="9"/>
      <color indexed="19"/>
      <name val="Arial"/>
      <charset val="134"/>
    </font>
    <font>
      <sz val="9"/>
      <color indexed="10"/>
      <name val="Arial"/>
      <charset val="134"/>
    </font>
    <font>
      <b/>
      <sz val="10"/>
      <color indexed="39"/>
      <name val="Arial"/>
      <charset val="134"/>
    </font>
    <font>
      <sz val="14"/>
      <color indexed="10"/>
      <name val="Arial"/>
      <charset val="134"/>
    </font>
    <font>
      <b/>
      <sz val="18"/>
      <color rgb="FFFF0000"/>
      <name val="Arial"/>
      <charset val="134"/>
    </font>
    <font>
      <sz val="11"/>
      <color theme="1"/>
      <name val="Calibri"/>
      <charset val="134"/>
    </font>
    <font>
      <sz val="10"/>
      <color indexed="25"/>
      <name val="Arial"/>
      <charset val="134"/>
    </font>
    <font>
      <b/>
      <sz val="8"/>
      <color indexed="8"/>
      <name val="Arial"/>
      <charset val="134"/>
    </font>
    <font>
      <b/>
      <u/>
      <sz val="10"/>
      <name val="Arial"/>
      <charset val="134"/>
    </font>
  </fonts>
  <fills count="44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5"/>
        <bgColor indexed="11"/>
      </patternFill>
    </fill>
    <fill>
      <patternFill patternType="solid">
        <fgColor indexed="24"/>
        <bgColor indexed="22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/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180" fontId="47" fillId="0" borderId="0" applyFont="0" applyFill="0" applyBorder="0" applyAlignment="0" applyProtection="0">
      <alignment vertical="center"/>
    </xf>
    <xf numFmtId="41" fontId="47" fillId="0" borderId="0" applyFont="0" applyFill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0" fontId="53" fillId="0" borderId="42" applyNumberFormat="0" applyFill="0" applyAlignment="0" applyProtection="0">
      <alignment vertical="center"/>
    </xf>
    <xf numFmtId="0" fontId="52" fillId="19" borderId="41" applyNumberFormat="0" applyAlignment="0" applyProtection="0">
      <alignment vertical="center"/>
    </xf>
    <xf numFmtId="42" fontId="47" fillId="0" borderId="0" applyFont="0" applyFill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44" fontId="47" fillId="0" borderId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47" fillId="22" borderId="44" applyNumberFormat="0" applyFont="0" applyAlignment="0" applyProtection="0">
      <alignment vertical="center"/>
    </xf>
    <xf numFmtId="0" fontId="1" fillId="0" borderId="0"/>
    <xf numFmtId="0" fontId="51" fillId="24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57" fillId="26" borderId="0" applyNumberFormat="0" applyBorder="0" applyAlignment="0" applyProtection="0">
      <alignment vertical="center"/>
    </xf>
    <xf numFmtId="0" fontId="49" fillId="0" borderId="40" applyNumberFormat="0" applyFill="0" applyAlignment="0" applyProtection="0">
      <alignment vertical="center"/>
    </xf>
    <xf numFmtId="0" fontId="57" fillId="30" borderId="0" applyNumberFormat="0" applyBorder="0" applyAlignment="0" applyProtection="0">
      <alignment vertical="center"/>
    </xf>
    <xf numFmtId="0" fontId="48" fillId="0" borderId="40" applyNumberFormat="0" applyFill="0" applyAlignment="0" applyProtection="0">
      <alignment vertical="center"/>
    </xf>
    <xf numFmtId="0" fontId="57" fillId="23" borderId="0" applyNumberFormat="0" applyBorder="0" applyAlignment="0" applyProtection="0">
      <alignment vertical="center"/>
    </xf>
    <xf numFmtId="0" fontId="54" fillId="0" borderId="43" applyNumberFormat="0" applyFill="0" applyAlignment="0" applyProtection="0">
      <alignment vertical="center"/>
    </xf>
    <xf numFmtId="0" fontId="57" fillId="31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64" fillId="33" borderId="45" applyNumberFormat="0" applyAlignment="0" applyProtection="0">
      <alignment vertical="center"/>
    </xf>
    <xf numFmtId="0" fontId="65" fillId="29" borderId="46" applyNumberFormat="0" applyAlignment="0" applyProtection="0">
      <alignment vertical="center"/>
    </xf>
    <xf numFmtId="0" fontId="62" fillId="29" borderId="45" applyNumberFormat="0" applyAlignment="0" applyProtection="0">
      <alignment vertical="center"/>
    </xf>
    <xf numFmtId="0" fontId="66" fillId="0" borderId="47" applyNumberFormat="0" applyFill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61" fillId="25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179" fontId="1" fillId="0" borderId="0" applyFill="0" applyBorder="0" applyAlignment="0" applyProtection="0"/>
    <xf numFmtId="0" fontId="51" fillId="38" borderId="0" applyNumberFormat="0" applyBorder="0" applyAlignment="0" applyProtection="0">
      <alignment vertical="center"/>
    </xf>
    <xf numFmtId="0" fontId="57" fillId="36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7" fillId="35" borderId="0" applyNumberFormat="0" applyBorder="0" applyAlignment="0" applyProtection="0">
      <alignment vertical="center"/>
    </xf>
    <xf numFmtId="0" fontId="51" fillId="39" borderId="0" applyNumberFormat="0" applyBorder="0" applyAlignment="0" applyProtection="0">
      <alignment vertical="center"/>
    </xf>
    <xf numFmtId="0" fontId="57" fillId="27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7" fillId="37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57" fillId="34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7" fillId="41" borderId="0" applyNumberFormat="0" applyBorder="0" applyAlignment="0" applyProtection="0">
      <alignment vertical="center"/>
    </xf>
    <xf numFmtId="0" fontId="51" fillId="42" borderId="0" applyNumberFormat="0" applyBorder="0" applyAlignment="0" applyProtection="0">
      <alignment vertical="center"/>
    </xf>
    <xf numFmtId="0" fontId="57" fillId="43" borderId="0" applyNumberFormat="0" applyBorder="0" applyAlignment="0" applyProtection="0">
      <alignment vertical="center"/>
    </xf>
    <xf numFmtId="0" fontId="57" fillId="40" borderId="0" applyNumberFormat="0" applyBorder="0" applyAlignment="0" applyProtection="0">
      <alignment vertical="center"/>
    </xf>
    <xf numFmtId="176" fontId="1" fillId="0" borderId="0" applyFill="0" applyBorder="0" applyAlignment="0" applyProtection="0"/>
  </cellStyleXfs>
  <cellXfs count="595">
    <xf numFmtId="0" fontId="0" fillId="0" borderId="0" xfId="0"/>
    <xf numFmtId="0" fontId="1" fillId="0" borderId="0" xfId="14" applyFont="1"/>
    <xf numFmtId="0" fontId="2" fillId="0" borderId="0" xfId="14" applyFont="1"/>
    <xf numFmtId="0" fontId="1" fillId="0" borderId="0" xfId="14" applyFont="1" applyAlignment="1">
      <alignment horizontal="center"/>
    </xf>
    <xf numFmtId="0" fontId="3" fillId="0" borderId="0" xfId="14" applyFont="1" applyAlignment="1" applyProtection="1">
      <alignment vertical="center"/>
    </xf>
    <xf numFmtId="0" fontId="4" fillId="0" borderId="0" xfId="14" applyFont="1" applyAlignment="1"/>
    <xf numFmtId="0" fontId="5" fillId="0" borderId="0" xfId="14" applyFont="1" applyAlignment="1"/>
    <xf numFmtId="0" fontId="6" fillId="0" borderId="0" xfId="14" applyFont="1" applyAlignment="1"/>
    <xf numFmtId="49" fontId="3" fillId="0" borderId="0" xfId="14" applyNumberFormat="1" applyFont="1" applyAlignment="1" applyProtection="1">
      <alignment vertical="center"/>
    </xf>
    <xf numFmtId="0" fontId="7" fillId="0" borderId="0" xfId="14" applyFont="1" applyBorder="1" applyAlignment="1">
      <alignment horizontal="left" vertical="center"/>
    </xf>
    <xf numFmtId="0" fontId="7" fillId="0" borderId="0" xfId="14" applyFont="1" applyBorder="1" applyAlignment="1">
      <alignment vertical="center"/>
    </xf>
    <xf numFmtId="0" fontId="8" fillId="2" borderId="1" xfId="14" applyFont="1" applyFill="1" applyBorder="1" applyAlignment="1">
      <alignment horizontal="center" vertical="center"/>
    </xf>
    <xf numFmtId="0" fontId="8" fillId="2" borderId="2" xfId="14" applyFont="1" applyFill="1" applyBorder="1" applyAlignment="1">
      <alignment horizontal="center" vertical="center" wrapText="1"/>
    </xf>
    <xf numFmtId="0" fontId="8" fillId="2" borderId="3" xfId="14" applyFont="1" applyFill="1" applyBorder="1" applyAlignment="1">
      <alignment horizontal="center" vertical="center" wrapText="1"/>
    </xf>
    <xf numFmtId="0" fontId="8" fillId="2" borderId="4" xfId="14" applyFont="1" applyFill="1" applyBorder="1" applyAlignment="1">
      <alignment horizontal="center" vertical="center" wrapText="1"/>
    </xf>
    <xf numFmtId="0" fontId="8" fillId="2" borderId="5" xfId="14" applyFont="1" applyFill="1" applyBorder="1" applyAlignment="1">
      <alignment horizontal="center" vertical="center" wrapText="1"/>
    </xf>
    <xf numFmtId="0" fontId="9" fillId="0" borderId="6" xfId="14" applyFont="1" applyFill="1" applyBorder="1" applyAlignment="1">
      <alignment horizontal="justify" vertical="center" wrapText="1"/>
    </xf>
    <xf numFmtId="4" fontId="10" fillId="0" borderId="7" xfId="35" applyNumberFormat="1" applyFont="1" applyFill="1" applyBorder="1" applyAlignment="1">
      <alignment vertical="center"/>
    </xf>
    <xf numFmtId="4" fontId="10" fillId="0" borderId="8" xfId="14" applyNumberFormat="1" applyFont="1" applyFill="1" applyBorder="1" applyAlignment="1">
      <alignment horizontal="right" vertical="center"/>
    </xf>
    <xf numFmtId="4" fontId="10" fillId="0" borderId="9" xfId="14" applyNumberFormat="1" applyFont="1" applyFill="1" applyBorder="1" applyAlignment="1">
      <alignment horizontal="right" vertical="center"/>
    </xf>
    <xf numFmtId="4" fontId="10" fillId="0" borderId="10" xfId="35" applyNumberFormat="1" applyFont="1" applyFill="1" applyBorder="1" applyAlignment="1">
      <alignment vertical="center"/>
    </xf>
    <xf numFmtId="4" fontId="10" fillId="0" borderId="11" xfId="35" applyNumberFormat="1" applyFont="1" applyFill="1" applyBorder="1" applyAlignment="1">
      <alignment vertical="center"/>
    </xf>
    <xf numFmtId="4" fontId="10" fillId="0" borderId="12" xfId="14" applyNumberFormat="1" applyFont="1" applyFill="1" applyBorder="1" applyAlignment="1">
      <alignment horizontal="right" vertical="center"/>
    </xf>
    <xf numFmtId="4" fontId="10" fillId="0" borderId="13" xfId="14" applyNumberFormat="1" applyFont="1" applyFill="1" applyBorder="1" applyAlignment="1">
      <alignment horizontal="right" vertical="center"/>
    </xf>
    <xf numFmtId="4" fontId="10" fillId="0" borderId="14" xfId="35" applyNumberFormat="1" applyFont="1" applyFill="1" applyBorder="1" applyAlignment="1">
      <alignment vertical="center"/>
    </xf>
    <xf numFmtId="0" fontId="8" fillId="3" borderId="15" xfId="14" applyFont="1" applyFill="1" applyBorder="1" applyAlignment="1">
      <alignment horizontal="right" vertical="center" wrapText="1"/>
    </xf>
    <xf numFmtId="4" fontId="11" fillId="3" borderId="11" xfId="35" applyNumberFormat="1" applyFont="1" applyFill="1" applyBorder="1" applyAlignment="1">
      <alignment vertical="center"/>
    </xf>
    <xf numFmtId="4" fontId="11" fillId="3" borderId="12" xfId="14" applyNumberFormat="1" applyFont="1" applyFill="1" applyBorder="1" applyAlignment="1">
      <alignment horizontal="right" vertical="center"/>
    </xf>
    <xf numFmtId="4" fontId="11" fillId="3" borderId="13" xfId="14" applyNumberFormat="1" applyFont="1" applyFill="1" applyBorder="1" applyAlignment="1">
      <alignment horizontal="right" vertical="center"/>
    </xf>
    <xf numFmtId="4" fontId="11" fillId="3" borderId="14" xfId="35" applyNumberFormat="1" applyFont="1" applyFill="1" applyBorder="1" applyAlignment="1">
      <alignment vertical="center"/>
    </xf>
    <xf numFmtId="0" fontId="12" fillId="0" borderId="0" xfId="14" applyFont="1" applyBorder="1" applyAlignment="1">
      <alignment horizontal="center" vertical="center" wrapText="1"/>
    </xf>
    <xf numFmtId="182" fontId="13" fillId="0" borderId="0" xfId="35" applyNumberFormat="1" applyFont="1" applyBorder="1" applyAlignment="1">
      <alignment horizontal="center" vertical="center"/>
    </xf>
    <xf numFmtId="0" fontId="12" fillId="0" borderId="0" xfId="14" applyFont="1" applyBorder="1" applyAlignment="1">
      <alignment horizontal="center" vertical="center"/>
    </xf>
    <xf numFmtId="0" fontId="8" fillId="0" borderId="0" xfId="14" applyFont="1"/>
    <xf numFmtId="0" fontId="9" fillId="0" borderId="0" xfId="14" applyFont="1"/>
    <xf numFmtId="0" fontId="9" fillId="0" borderId="0" xfId="14" applyFont="1" applyAlignment="1">
      <alignment horizontal="justify"/>
    </xf>
    <xf numFmtId="0" fontId="9" fillId="0" borderId="0" xfId="14" applyFont="1" applyAlignment="1">
      <alignment horizontal="justify" wrapText="1"/>
    </xf>
    <xf numFmtId="0" fontId="8" fillId="0" borderId="0" xfId="14" applyFont="1" applyAlignment="1">
      <alignment horizontal="right"/>
    </xf>
    <xf numFmtId="0" fontId="9" fillId="0" borderId="0" xfId="14" applyFont="1" applyAlignment="1">
      <alignment horizontal="left"/>
    </xf>
    <xf numFmtId="0" fontId="9" fillId="0" borderId="0" xfId="14" applyFont="1" applyBorder="1" applyAlignment="1">
      <alignment horizontal="center"/>
    </xf>
    <xf numFmtId="0" fontId="9" fillId="0" borderId="0" xfId="14" applyFont="1" applyBorder="1"/>
    <xf numFmtId="0" fontId="9" fillId="0" borderId="0" xfId="14" applyFont="1" applyBorder="1" applyAlignment="1"/>
    <xf numFmtId="0" fontId="9" fillId="0" borderId="0" xfId="14" applyFont="1" applyAlignment="1"/>
    <xf numFmtId="0" fontId="9" fillId="0" borderId="16" xfId="14" applyFont="1" applyBorder="1" applyAlignment="1">
      <alignment horizontal="center"/>
    </xf>
    <xf numFmtId="0" fontId="9" fillId="0" borderId="0" xfId="14" applyFont="1" applyAlignment="1">
      <alignment horizontal="center"/>
    </xf>
    <xf numFmtId="0" fontId="9" fillId="0" borderId="0" xfId="14" applyFont="1" applyBorder="1" applyAlignment="1">
      <alignment vertical="center"/>
    </xf>
    <xf numFmtId="0" fontId="9" fillId="0" borderId="0" xfId="14" applyFont="1" applyAlignment="1">
      <alignment vertical="center"/>
    </xf>
    <xf numFmtId="0" fontId="9" fillId="0" borderId="0" xfId="14" applyFont="1" applyAlignment="1">
      <alignment horizontal="left" vertical="center"/>
    </xf>
    <xf numFmtId="0" fontId="9" fillId="0" borderId="0" xfId="14" applyFont="1" applyBorder="1" applyAlignment="1">
      <alignment horizontal="left" vertical="center"/>
    </xf>
    <xf numFmtId="49" fontId="9" fillId="0" borderId="0" xfId="14" applyNumberFormat="1" applyFont="1" applyAlignment="1">
      <alignment horizontal="right" vertical="center"/>
    </xf>
    <xf numFmtId="184" fontId="9" fillId="0" borderId="0" xfId="14" applyNumberFormat="1" applyFont="1" applyAlignment="1">
      <alignment horizontal="left" vertical="center"/>
    </xf>
    <xf numFmtId="184" fontId="9" fillId="0" borderId="0" xfId="14" applyNumberFormat="1" applyFont="1" applyBorder="1" applyAlignment="1">
      <alignment horizontal="left" vertical="center"/>
    </xf>
    <xf numFmtId="58" fontId="9" fillId="0" borderId="0" xfId="14" applyNumberFormat="1" applyFont="1" applyAlignment="1">
      <alignment horizontal="left" vertical="center"/>
    </xf>
    <xf numFmtId="58" fontId="9" fillId="0" borderId="0" xfId="14" applyNumberFormat="1" applyFont="1" applyBorder="1" applyAlignment="1">
      <alignment horizontal="left" vertical="center"/>
    </xf>
    <xf numFmtId="0" fontId="1" fillId="0" borderId="0" xfId="0" applyFont="1" applyFill="1" applyAlignment="1"/>
    <xf numFmtId="0" fontId="14" fillId="3" borderId="17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0" fontId="16" fillId="5" borderId="18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horizontal="left" vertical="center" wrapText="1"/>
    </xf>
    <xf numFmtId="0" fontId="17" fillId="0" borderId="17" xfId="0" applyFont="1" applyFill="1" applyBorder="1" applyAlignment="1">
      <alignment horizontal="center" vertical="center" wrapText="1"/>
    </xf>
    <xf numFmtId="58" fontId="18" fillId="0" borderId="17" xfId="0" applyNumberFormat="1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7" fillId="6" borderId="17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8" fillId="6" borderId="17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center" vertical="center"/>
    </xf>
    <xf numFmtId="0" fontId="18" fillId="6" borderId="17" xfId="0" applyFont="1" applyFill="1" applyBorder="1" applyAlignment="1">
      <alignment horizontal="right" vertical="center"/>
    </xf>
    <xf numFmtId="0" fontId="17" fillId="7" borderId="17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right" vertical="center" wrapText="1"/>
    </xf>
    <xf numFmtId="0" fontId="12" fillId="0" borderId="17" xfId="0" applyFont="1" applyFill="1" applyBorder="1" applyAlignment="1">
      <alignment horizontal="left" vertical="center" wrapText="1"/>
    </xf>
    <xf numFmtId="0" fontId="20" fillId="0" borderId="17" xfId="0" applyFont="1" applyFill="1" applyBorder="1" applyAlignment="1">
      <alignment horizontal="left" vertical="center" wrapText="1"/>
    </xf>
    <xf numFmtId="0" fontId="19" fillId="6" borderId="17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right" vertical="center" wrapText="1"/>
    </xf>
    <xf numFmtId="39" fontId="21" fillId="4" borderId="17" xfId="0" applyNumberFormat="1" applyFont="1" applyFill="1" applyBorder="1" applyAlignment="1">
      <alignment horizontal="right" vertical="center" wrapText="1"/>
    </xf>
    <xf numFmtId="178" fontId="21" fillId="4" borderId="17" xfId="0" applyNumberFormat="1" applyFont="1" applyFill="1" applyBorder="1" applyAlignment="1">
      <alignment horizontal="right" vertical="center" wrapText="1"/>
    </xf>
    <xf numFmtId="0" fontId="17" fillId="4" borderId="17" xfId="0" applyFont="1" applyFill="1" applyBorder="1" applyAlignment="1">
      <alignment horizontal="left" vertical="center" wrapText="1"/>
    </xf>
    <xf numFmtId="0" fontId="17" fillId="6" borderId="17" xfId="0" applyFont="1" applyFill="1" applyBorder="1" applyAlignment="1">
      <alignment horizontal="right" vertical="center" wrapText="1"/>
    </xf>
    <xf numFmtId="0" fontId="1" fillId="8" borderId="17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9" fillId="6" borderId="17" xfId="0" applyFont="1" applyFill="1" applyBorder="1" applyAlignment="1">
      <alignment horizontal="left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left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left" vertical="center"/>
    </xf>
    <xf numFmtId="0" fontId="22" fillId="0" borderId="17" xfId="0" applyFont="1" applyFill="1" applyBorder="1" applyAlignment="1">
      <alignment horizontal="right" vertical="center"/>
    </xf>
    <xf numFmtId="0" fontId="17" fillId="0" borderId="17" xfId="0" applyFont="1" applyFill="1" applyBorder="1" applyAlignment="1">
      <alignment horizontal="center"/>
    </xf>
    <xf numFmtId="0" fontId="17" fillId="6" borderId="17" xfId="0" applyFont="1" applyFill="1" applyBorder="1" applyAlignment="1">
      <alignment horizontal="right" vertical="center"/>
    </xf>
    <xf numFmtId="0" fontId="19" fillId="6" borderId="17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right" vertical="center" wrapText="1"/>
    </xf>
    <xf numFmtId="9" fontId="17" fillId="4" borderId="17" xfId="0" applyNumberFormat="1" applyFont="1" applyFill="1" applyBorder="1" applyAlignment="1">
      <alignment horizontal="left" vertical="center" wrapText="1"/>
    </xf>
    <xf numFmtId="187" fontId="17" fillId="4" borderId="17" xfId="0" applyNumberFormat="1" applyFont="1" applyFill="1" applyBorder="1" applyAlignment="1">
      <alignment horizontal="left" vertical="center" wrapText="1"/>
    </xf>
    <xf numFmtId="0" fontId="16" fillId="4" borderId="2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7" fillId="6" borderId="17" xfId="0" applyNumberFormat="1" applyFont="1" applyFill="1" applyBorder="1" applyAlignment="1">
      <alignment horizontal="center" vertical="center" wrapText="1"/>
    </xf>
    <xf numFmtId="2" fontId="17" fillId="4" borderId="18" xfId="0" applyNumberFormat="1" applyFont="1" applyFill="1" applyBorder="1" applyAlignment="1">
      <alignment horizontal="right" vertical="center" wrapText="1"/>
    </xf>
    <xf numFmtId="2" fontId="17" fillId="4" borderId="20" xfId="0" applyNumberFormat="1" applyFont="1" applyFill="1" applyBorder="1" applyAlignment="1">
      <alignment horizontal="right" vertical="center" wrapText="1"/>
    </xf>
    <xf numFmtId="4" fontId="18" fillId="6" borderId="17" xfId="0" applyNumberFormat="1" applyFont="1" applyFill="1" applyBorder="1" applyAlignment="1">
      <alignment horizontal="right" vertical="center" wrapText="1"/>
    </xf>
    <xf numFmtId="4" fontId="1" fillId="0" borderId="17" xfId="0" applyNumberFormat="1" applyFont="1" applyFill="1" applyBorder="1" applyAlignment="1">
      <alignment horizontal="right" vertical="center" wrapText="1"/>
    </xf>
    <xf numFmtId="4" fontId="18" fillId="0" borderId="17" xfId="1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protection locked="0"/>
    </xf>
    <xf numFmtId="0" fontId="21" fillId="4" borderId="17" xfId="0" applyFont="1" applyFill="1" applyBorder="1" applyAlignment="1">
      <alignment horizontal="right" vertical="center" wrapText="1"/>
    </xf>
    <xf numFmtId="4" fontId="17" fillId="0" borderId="17" xfId="0" applyNumberFormat="1" applyFont="1" applyFill="1" applyBorder="1" applyAlignment="1">
      <alignment vertical="center"/>
    </xf>
    <xf numFmtId="10" fontId="17" fillId="4" borderId="17" xfId="0" applyNumberFormat="1" applyFont="1" applyFill="1" applyBorder="1" applyAlignment="1">
      <alignment vertical="center"/>
    </xf>
    <xf numFmtId="4" fontId="23" fillId="0" borderId="17" xfId="0" applyNumberFormat="1" applyFont="1" applyFill="1" applyBorder="1" applyAlignment="1">
      <alignment vertical="center"/>
    </xf>
    <xf numFmtId="4" fontId="19" fillId="6" borderId="17" xfId="0" applyNumberFormat="1" applyFont="1" applyFill="1" applyBorder="1" applyAlignment="1">
      <alignment vertical="center"/>
    </xf>
    <xf numFmtId="2" fontId="17" fillId="0" borderId="17" xfId="0" applyNumberFormat="1" applyFont="1" applyFill="1" applyBorder="1" applyAlignment="1">
      <alignment horizontal="right" vertical="center"/>
    </xf>
    <xf numFmtId="0" fontId="17" fillId="0" borderId="17" xfId="0" applyFont="1" applyFill="1" applyBorder="1" applyAlignment="1">
      <alignment horizontal="right" vertical="center"/>
    </xf>
    <xf numFmtId="4" fontId="17" fillId="0" borderId="17" xfId="0" applyNumberFormat="1" applyFont="1" applyFill="1" applyBorder="1" applyAlignment="1">
      <alignment horizontal="right"/>
    </xf>
    <xf numFmtId="4" fontId="17" fillId="6" borderId="17" xfId="0" applyNumberFormat="1" applyFont="1" applyFill="1" applyBorder="1" applyAlignment="1">
      <alignment horizontal="right" vertical="center"/>
    </xf>
    <xf numFmtId="10" fontId="17" fillId="0" borderId="17" xfId="0" applyNumberFormat="1" applyFont="1" applyFill="1" applyBorder="1" applyAlignment="1">
      <alignment horizontal="right" vertical="center"/>
    </xf>
    <xf numFmtId="4" fontId="17" fillId="0" borderId="17" xfId="0" applyNumberFormat="1" applyFont="1" applyFill="1" applyBorder="1" applyAlignment="1">
      <alignment horizontal="right" vertical="center"/>
    </xf>
    <xf numFmtId="183" fontId="17" fillId="0" borderId="17" xfId="0" applyNumberFormat="1" applyFont="1" applyFill="1" applyBorder="1" applyAlignment="1">
      <alignment horizontal="right" vertical="center"/>
    </xf>
    <xf numFmtId="0" fontId="18" fillId="0" borderId="17" xfId="0" applyFont="1" applyFill="1" applyBorder="1" applyAlignment="1">
      <alignment horizontal="left" vertical="center"/>
    </xf>
    <xf numFmtId="0" fontId="24" fillId="0" borderId="17" xfId="0" applyFont="1" applyFill="1" applyBorder="1" applyAlignment="1">
      <alignment horizontal="center" vertical="center"/>
    </xf>
    <xf numFmtId="0" fontId="17" fillId="7" borderId="17" xfId="14" applyFont="1" applyFill="1" applyBorder="1" applyAlignment="1">
      <alignment horizontal="justify" vertical="center"/>
    </xf>
    <xf numFmtId="0" fontId="25" fillId="0" borderId="17" xfId="0" applyFont="1" applyFill="1" applyBorder="1" applyAlignment="1">
      <alignment horizontal="left" vertical="center" wrapText="1"/>
    </xf>
    <xf numFmtId="0" fontId="19" fillId="6" borderId="17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left" vertical="center"/>
    </xf>
    <xf numFmtId="0" fontId="17" fillId="6" borderId="17" xfId="0" applyFont="1" applyFill="1" applyBorder="1" applyAlignment="1">
      <alignment horizontal="center" vertical="center"/>
    </xf>
    <xf numFmtId="183" fontId="17" fillId="6" borderId="17" xfId="0" applyNumberFormat="1" applyFont="1" applyFill="1" applyBorder="1" applyAlignment="1">
      <alignment horizontal="right" vertical="center"/>
    </xf>
    <xf numFmtId="186" fontId="26" fillId="4" borderId="17" xfId="0" applyNumberFormat="1" applyFont="1" applyFill="1" applyBorder="1" applyAlignment="1">
      <alignment vertical="center"/>
    </xf>
    <xf numFmtId="4" fontId="17" fillId="0" borderId="17" xfId="0" applyNumberFormat="1" applyFont="1" applyFill="1" applyBorder="1" applyAlignment="1">
      <alignment horizontal="center" vertical="center"/>
    </xf>
    <xf numFmtId="4" fontId="26" fillId="4" borderId="17" xfId="0" applyNumberFormat="1" applyFont="1" applyFill="1" applyBorder="1" applyAlignment="1" applyProtection="1">
      <alignment vertical="center"/>
    </xf>
    <xf numFmtId="3" fontId="26" fillId="0" borderId="17" xfId="0" applyNumberFormat="1" applyFont="1" applyFill="1" applyBorder="1" applyAlignment="1" applyProtection="1">
      <alignment vertical="center"/>
    </xf>
    <xf numFmtId="3" fontId="26" fillId="0" borderId="17" xfId="0" applyNumberFormat="1" applyFont="1" applyFill="1" applyBorder="1" applyAlignment="1">
      <alignment vertical="center"/>
    </xf>
    <xf numFmtId="4" fontId="17" fillId="4" borderId="17" xfId="0" applyNumberFormat="1" applyFont="1" applyFill="1" applyBorder="1" applyAlignment="1">
      <alignment horizontal="right" vertical="center" wrapText="1"/>
    </xf>
    <xf numFmtId="4" fontId="17" fillId="0" borderId="17" xfId="0" applyNumberFormat="1" applyFont="1" applyFill="1" applyBorder="1" applyAlignment="1">
      <alignment horizontal="center" vertical="center" wrapText="1"/>
    </xf>
    <xf numFmtId="2" fontId="17" fillId="0" borderId="17" xfId="0" applyNumberFormat="1" applyFont="1" applyFill="1" applyBorder="1" applyAlignment="1">
      <alignment horizontal="right" vertical="center" wrapText="1"/>
    </xf>
    <xf numFmtId="2" fontId="17" fillId="6" borderId="17" xfId="0" applyNumberFormat="1" applyFont="1" applyFill="1" applyBorder="1" applyAlignment="1">
      <alignment horizontal="right" vertical="center" wrapText="1"/>
    </xf>
    <xf numFmtId="4" fontId="19" fillId="0" borderId="17" xfId="0" applyNumberFormat="1" applyFont="1" applyFill="1" applyBorder="1" applyAlignment="1">
      <alignment horizontal="right" vertical="center" wrapText="1"/>
    </xf>
    <xf numFmtId="4" fontId="17" fillId="0" borderId="17" xfId="0" applyNumberFormat="1" applyFont="1" applyFill="1" applyBorder="1" applyAlignment="1"/>
    <xf numFmtId="4" fontId="17" fillId="6" borderId="17" xfId="0" applyNumberFormat="1" applyFont="1" applyFill="1" applyBorder="1" applyAlignment="1">
      <alignment horizontal="right"/>
    </xf>
    <xf numFmtId="4" fontId="19" fillId="6" borderId="17" xfId="0" applyNumberFormat="1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left" vertical="center"/>
    </xf>
    <xf numFmtId="4" fontId="18" fillId="0" borderId="17" xfId="0" applyNumberFormat="1" applyFont="1" applyFill="1" applyBorder="1" applyAlignment="1">
      <alignment horizontal="center" vertical="center"/>
    </xf>
    <xf numFmtId="0" fontId="26" fillId="0" borderId="17" xfId="0" applyFont="1" applyFill="1" applyBorder="1" applyAlignment="1">
      <alignment horizontal="left" vertical="center"/>
    </xf>
    <xf numFmtId="49" fontId="8" fillId="0" borderId="17" xfId="0" applyNumberFormat="1" applyFont="1" applyFill="1" applyBorder="1" applyAlignment="1">
      <alignment horizontal="left" vertical="center" wrapText="1"/>
    </xf>
    <xf numFmtId="49" fontId="17" fillId="6" borderId="17" xfId="0" applyNumberFormat="1" applyFont="1" applyFill="1" applyBorder="1" applyAlignment="1">
      <alignment horizontal="left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left" vertical="center" wrapText="1"/>
    </xf>
    <xf numFmtId="49" fontId="17" fillId="6" borderId="17" xfId="0" applyNumberFormat="1" applyFont="1" applyFill="1" applyBorder="1" applyAlignment="1">
      <alignment horizontal="right" vertical="center" wrapText="1"/>
    </xf>
    <xf numFmtId="0" fontId="8" fillId="6" borderId="17" xfId="0" applyFont="1" applyFill="1" applyBorder="1" applyAlignment="1">
      <alignment horizontal="left" vertical="center"/>
    </xf>
    <xf numFmtId="0" fontId="27" fillId="6" borderId="17" xfId="0" applyFont="1" applyFill="1" applyBorder="1" applyAlignment="1">
      <alignment horizontal="center" vertical="center" wrapText="1"/>
    </xf>
    <xf numFmtId="0" fontId="27" fillId="6" borderId="18" xfId="0" applyFont="1" applyFill="1" applyBorder="1" applyAlignment="1">
      <alignment horizontal="center" vertical="center"/>
    </xf>
    <xf numFmtId="0" fontId="27" fillId="6" borderId="19" xfId="0" applyFont="1" applyFill="1" applyBorder="1" applyAlignment="1">
      <alignment horizontal="center" vertical="center"/>
    </xf>
    <xf numFmtId="0" fontId="27" fillId="6" borderId="20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wrapText="1"/>
    </xf>
    <xf numFmtId="0" fontId="18" fillId="0" borderId="17" xfId="0" applyNumberFormat="1" applyFont="1" applyFill="1" applyBorder="1" applyAlignment="1">
      <alignment horizontal="center" vertical="center"/>
    </xf>
    <xf numFmtId="2" fontId="18" fillId="0" borderId="17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/>
    </xf>
    <xf numFmtId="2" fontId="18" fillId="0" borderId="17" xfId="0" applyNumberFormat="1" applyFont="1" applyFill="1" applyBorder="1" applyAlignment="1">
      <alignment horizontal="center" vertical="center" wrapText="1"/>
    </xf>
    <xf numFmtId="0" fontId="27" fillId="7" borderId="17" xfId="0" applyFont="1" applyFill="1" applyBorder="1" applyAlignment="1">
      <alignment horizontal="center" vertical="center" wrapText="1"/>
    </xf>
    <xf numFmtId="0" fontId="18" fillId="7" borderId="17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left"/>
    </xf>
    <xf numFmtId="4" fontId="17" fillId="0" borderId="17" xfId="0" applyNumberFormat="1" applyFont="1" applyFill="1" applyBorder="1" applyAlignment="1">
      <alignment horizontal="center"/>
    </xf>
    <xf numFmtId="39" fontId="17" fillId="0" borderId="17" xfId="0" applyNumberFormat="1" applyFont="1" applyFill="1" applyBorder="1" applyAlignment="1">
      <alignment horizontal="right"/>
    </xf>
    <xf numFmtId="0" fontId="18" fillId="6" borderId="17" xfId="0" applyFont="1" applyFill="1" applyBorder="1" applyAlignment="1">
      <alignment horizontal="right" wrapText="1"/>
    </xf>
    <xf numFmtId="39" fontId="18" fillId="6" borderId="17" xfId="0" applyNumberFormat="1" applyFont="1" applyFill="1" applyBorder="1" applyAlignment="1">
      <alignment horizontal="right"/>
    </xf>
    <xf numFmtId="4" fontId="17" fillId="0" borderId="17" xfId="0" applyNumberFormat="1" applyFont="1" applyFill="1" applyBorder="1" applyAlignment="1">
      <alignment horizontal="right" vertical="center" wrapText="1"/>
    </xf>
    <xf numFmtId="4" fontId="17" fillId="6" borderId="17" xfId="0" applyNumberFormat="1" applyFont="1" applyFill="1" applyBorder="1" applyAlignment="1">
      <alignment horizontal="right" vertical="center" wrapText="1"/>
    </xf>
    <xf numFmtId="4" fontId="19" fillId="6" borderId="17" xfId="0" applyNumberFormat="1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/>
    </xf>
    <xf numFmtId="4" fontId="18" fillId="0" borderId="17" xfId="0" applyNumberFormat="1" applyFont="1" applyFill="1" applyBorder="1" applyAlignment="1">
      <alignment horizontal="right" vertical="center"/>
    </xf>
    <xf numFmtId="10" fontId="17" fillId="4" borderId="17" xfId="0" applyNumberFormat="1" applyFont="1" applyFill="1" applyBorder="1" applyAlignment="1">
      <alignment horizontal="right" vertical="center"/>
    </xf>
    <xf numFmtId="10" fontId="18" fillId="0" borderId="17" xfId="0" applyNumberFormat="1" applyFont="1" applyFill="1" applyBorder="1" applyAlignment="1">
      <alignment horizontal="center" vertical="center"/>
    </xf>
    <xf numFmtId="10" fontId="17" fillId="0" borderId="17" xfId="0" applyNumberFormat="1" applyFont="1" applyFill="1" applyBorder="1" applyAlignment="1">
      <alignment horizontal="center" vertical="center"/>
    </xf>
    <xf numFmtId="10" fontId="17" fillId="0" borderId="17" xfId="0" applyNumberFormat="1" applyFont="1" applyFill="1" applyBorder="1" applyAlignment="1">
      <alignment horizontal="right" vertical="center" wrapText="1"/>
    </xf>
    <xf numFmtId="10" fontId="17" fillId="0" borderId="17" xfId="0" applyNumberFormat="1" applyFont="1" applyFill="1" applyBorder="1" applyAlignment="1">
      <alignment horizontal="center" vertical="center" wrapText="1"/>
    </xf>
    <xf numFmtId="10" fontId="17" fillId="4" borderId="17" xfId="0" applyNumberFormat="1" applyFont="1" applyFill="1" applyBorder="1" applyAlignment="1">
      <alignment horizontal="right" vertical="center" wrapText="1"/>
    </xf>
    <xf numFmtId="10" fontId="18" fillId="0" borderId="17" xfId="0" applyNumberFormat="1" applyFont="1" applyFill="1" applyBorder="1" applyAlignment="1">
      <alignment horizontal="right" vertical="center"/>
    </xf>
    <xf numFmtId="0" fontId="17" fillId="6" borderId="18" xfId="0" applyFont="1" applyFill="1" applyBorder="1" applyAlignment="1">
      <alignment horizontal="center" vertical="center"/>
    </xf>
    <xf numFmtId="0" fontId="17" fillId="6" borderId="20" xfId="0" applyFont="1" applyFill="1" applyBorder="1" applyAlignment="1">
      <alignment horizontal="center" vertical="center"/>
    </xf>
    <xf numFmtId="2" fontId="18" fillId="0" borderId="17" xfId="0" applyNumberFormat="1" applyFont="1" applyFill="1" applyBorder="1" applyAlignment="1">
      <alignment horizontal="right" vertical="center" wrapText="1"/>
    </xf>
    <xf numFmtId="0" fontId="17" fillId="0" borderId="17" xfId="0" applyFont="1" applyFill="1" applyBorder="1" applyAlignment="1">
      <alignment horizontal="left" wrapText="1"/>
    </xf>
    <xf numFmtId="0" fontId="28" fillId="0" borderId="17" xfId="0" applyFont="1" applyFill="1" applyBorder="1" applyAlignment="1">
      <alignment horizontal="right" wrapText="1"/>
    </xf>
    <xf numFmtId="39" fontId="18" fillId="0" borderId="17" xfId="0" applyNumberFormat="1" applyFont="1" applyFill="1" applyBorder="1" applyAlignment="1">
      <alignment horizontal="right"/>
    </xf>
    <xf numFmtId="0" fontId="18" fillId="0" borderId="17" xfId="0" applyFont="1" applyFill="1" applyBorder="1" applyAlignment="1">
      <alignment horizontal="right" wrapText="1"/>
    </xf>
    <xf numFmtId="0" fontId="11" fillId="0" borderId="17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justify" vertical="center" wrapText="1"/>
    </xf>
    <xf numFmtId="0" fontId="21" fillId="0" borderId="17" xfId="0" applyFont="1" applyFill="1" applyBorder="1" applyAlignment="1">
      <alignment horizontal="center"/>
    </xf>
    <xf numFmtId="0" fontId="17" fillId="0" borderId="17" xfId="0" applyFont="1" applyFill="1" applyBorder="1" applyAlignment="1">
      <alignment horizontal="justify" wrapText="1"/>
    </xf>
    <xf numFmtId="4" fontId="18" fillId="0" borderId="17" xfId="0" applyNumberFormat="1" applyFont="1" applyFill="1" applyBorder="1" applyAlignment="1">
      <alignment horizontal="right" vertical="center" wrapText="1"/>
    </xf>
    <xf numFmtId="4" fontId="29" fillId="0" borderId="17" xfId="0" applyNumberFormat="1" applyFont="1" applyFill="1" applyBorder="1" applyAlignment="1">
      <alignment horizontal="right" vertical="center" wrapText="1"/>
    </xf>
    <xf numFmtId="0" fontId="1" fillId="0" borderId="0" xfId="14"/>
    <xf numFmtId="0" fontId="14" fillId="0" borderId="17" xfId="14" applyFont="1" applyBorder="1" applyAlignment="1">
      <alignment horizontal="center" vertical="center" wrapText="1"/>
    </xf>
    <xf numFmtId="0" fontId="15" fillId="0" borderId="17" xfId="14" applyFont="1" applyBorder="1" applyAlignment="1">
      <alignment horizontal="center" vertical="center" wrapText="1"/>
    </xf>
    <xf numFmtId="0" fontId="16" fillId="0" borderId="17" xfId="14" applyFont="1" applyBorder="1" applyAlignment="1">
      <alignment horizontal="center" vertical="center" wrapText="1"/>
    </xf>
    <xf numFmtId="0" fontId="17" fillId="0" borderId="17" xfId="14" applyFont="1" applyBorder="1" applyAlignment="1">
      <alignment horizontal="left" vertical="center" wrapText="1"/>
    </xf>
    <xf numFmtId="0" fontId="18" fillId="4" borderId="17" xfId="14" applyFont="1" applyFill="1" applyBorder="1" applyAlignment="1">
      <alignment horizontal="center" vertical="center" wrapText="1"/>
    </xf>
    <xf numFmtId="49" fontId="18" fillId="4" borderId="17" xfId="14" applyNumberFormat="1" applyFont="1" applyFill="1" applyBorder="1" applyAlignment="1">
      <alignment horizontal="center" vertical="center" wrapText="1"/>
    </xf>
    <xf numFmtId="0" fontId="19" fillId="6" borderId="17" xfId="14" applyFont="1" applyFill="1" applyBorder="1" applyAlignment="1">
      <alignment horizontal="left" vertical="center" wrapText="1"/>
    </xf>
    <xf numFmtId="0" fontId="17" fillId="0" borderId="17" xfId="14" applyFont="1" applyBorder="1" applyAlignment="1">
      <alignment horizontal="center" vertical="center" wrapText="1"/>
    </xf>
    <xf numFmtId="58" fontId="18" fillId="4" borderId="17" xfId="14" applyNumberFormat="1" applyFont="1" applyFill="1" applyBorder="1" applyAlignment="1">
      <alignment horizontal="center" vertical="center" wrapText="1"/>
    </xf>
    <xf numFmtId="0" fontId="19" fillId="0" borderId="17" xfId="14" applyFont="1" applyFill="1" applyBorder="1" applyAlignment="1">
      <alignment horizontal="center" vertical="center" wrapText="1"/>
    </xf>
    <xf numFmtId="0" fontId="17" fillId="6" borderId="17" xfId="14" applyFont="1" applyFill="1" applyBorder="1" applyAlignment="1">
      <alignment horizontal="center" vertical="center" wrapText="1"/>
    </xf>
    <xf numFmtId="0" fontId="1" fillId="0" borderId="17" xfId="14" applyFont="1" applyBorder="1" applyAlignment="1">
      <alignment horizontal="left" vertical="center" wrapText="1"/>
    </xf>
    <xf numFmtId="0" fontId="1" fillId="0" borderId="17" xfId="14" applyFont="1" applyBorder="1" applyAlignment="1">
      <alignment horizontal="center" vertical="center" wrapText="1"/>
    </xf>
    <xf numFmtId="0" fontId="30" fillId="0" borderId="17" xfId="14" applyFont="1" applyBorder="1" applyAlignment="1">
      <alignment horizontal="left" vertical="center" wrapText="1"/>
    </xf>
    <xf numFmtId="0" fontId="31" fillId="0" borderId="17" xfId="14" applyFont="1" applyBorder="1" applyAlignment="1">
      <alignment horizontal="center" vertical="center" wrapText="1"/>
    </xf>
    <xf numFmtId="0" fontId="18" fillId="6" borderId="17" xfId="14" applyFont="1" applyFill="1" applyBorder="1" applyAlignment="1">
      <alignment horizontal="right" vertical="center" wrapText="1"/>
    </xf>
    <xf numFmtId="0" fontId="17" fillId="7" borderId="17" xfId="14" applyFont="1" applyFill="1" applyBorder="1" applyAlignment="1">
      <alignment horizontal="center" vertical="center"/>
    </xf>
    <xf numFmtId="0" fontId="1" fillId="0" borderId="17" xfId="14" applyFont="1" applyBorder="1" applyAlignment="1">
      <alignment horizontal="center" vertical="center"/>
    </xf>
    <xf numFmtId="0" fontId="18" fillId="6" borderId="17" xfId="14" applyFont="1" applyFill="1" applyBorder="1" applyAlignment="1">
      <alignment horizontal="right" vertical="center"/>
    </xf>
    <xf numFmtId="0" fontId="1" fillId="0" borderId="17" xfId="14" applyFont="1" applyBorder="1" applyAlignment="1">
      <alignment horizontal="left" vertical="center"/>
    </xf>
    <xf numFmtId="0" fontId="17" fillId="6" borderId="17" xfId="14" applyFont="1" applyFill="1" applyBorder="1" applyAlignment="1">
      <alignment horizontal="center" vertical="center"/>
    </xf>
    <xf numFmtId="0" fontId="1" fillId="0" borderId="17" xfId="14" applyFont="1" applyFill="1" applyBorder="1" applyAlignment="1">
      <alignment horizontal="left" vertical="center"/>
    </xf>
    <xf numFmtId="0" fontId="18" fillId="0" borderId="17" xfId="14" applyFont="1" applyFill="1" applyBorder="1" applyAlignment="1">
      <alignment horizontal="right" vertical="center" wrapText="1"/>
    </xf>
    <xf numFmtId="0" fontId="12" fillId="0" borderId="17" xfId="14" applyFont="1" applyFill="1" applyBorder="1" applyAlignment="1">
      <alignment horizontal="left" vertical="center" wrapText="1"/>
    </xf>
    <xf numFmtId="0" fontId="20" fillId="0" borderId="17" xfId="14" applyFont="1" applyFill="1" applyBorder="1" applyAlignment="1">
      <alignment horizontal="left" vertical="center" wrapText="1"/>
    </xf>
    <xf numFmtId="0" fontId="19" fillId="6" borderId="17" xfId="14" applyFont="1" applyFill="1" applyBorder="1" applyAlignment="1">
      <alignment horizontal="center" vertical="center" wrapText="1"/>
    </xf>
    <xf numFmtId="0" fontId="21" fillId="0" borderId="17" xfId="14" applyFont="1" applyBorder="1" applyAlignment="1">
      <alignment horizontal="right" vertical="center" wrapText="1"/>
    </xf>
    <xf numFmtId="39" fontId="21" fillId="4" borderId="17" xfId="14" applyNumberFormat="1" applyFont="1" applyFill="1" applyBorder="1" applyAlignment="1">
      <alignment horizontal="right" vertical="center" wrapText="1"/>
    </xf>
    <xf numFmtId="0" fontId="21" fillId="0" borderId="17" xfId="14" applyFont="1" applyFill="1" applyBorder="1" applyAlignment="1">
      <alignment horizontal="right" vertical="center" wrapText="1"/>
    </xf>
    <xf numFmtId="184" fontId="21" fillId="4" borderId="17" xfId="14" applyNumberFormat="1" applyFont="1" applyFill="1" applyBorder="1" applyAlignment="1">
      <alignment horizontal="right" vertical="center" wrapText="1"/>
    </xf>
    <xf numFmtId="0" fontId="1" fillId="0" borderId="17" xfId="14" applyFont="1" applyFill="1" applyBorder="1" applyAlignment="1">
      <alignment horizontal="left" vertical="center" wrapText="1"/>
    </xf>
    <xf numFmtId="0" fontId="17" fillId="6" borderId="17" xfId="14" applyNumberFormat="1" applyFont="1" applyFill="1" applyBorder="1" applyAlignment="1">
      <alignment horizontal="center" vertical="center" wrapText="1"/>
    </xf>
    <xf numFmtId="2" fontId="1" fillId="4" borderId="17" xfId="14" applyNumberFormat="1" applyFont="1" applyFill="1" applyBorder="1" applyAlignment="1">
      <alignment horizontal="right" vertical="center" wrapText="1"/>
    </xf>
    <xf numFmtId="4" fontId="18" fillId="6" borderId="17" xfId="14" applyNumberFormat="1" applyFont="1" applyFill="1" applyBorder="1" applyAlignment="1">
      <alignment horizontal="right" vertical="center" wrapText="1"/>
    </xf>
    <xf numFmtId="4" fontId="1" fillId="4" borderId="17" xfId="14" applyNumberFormat="1" applyFont="1" applyFill="1" applyBorder="1" applyAlignment="1">
      <alignment horizontal="right" vertical="center" wrapText="1"/>
    </xf>
    <xf numFmtId="4" fontId="18" fillId="0" borderId="17" xfId="51" applyNumberFormat="1" applyFont="1" applyFill="1" applyBorder="1" applyAlignment="1" applyProtection="1">
      <alignment horizontal="right" vertical="center"/>
    </xf>
    <xf numFmtId="4" fontId="17" fillId="0" borderId="17" xfId="14" applyNumberFormat="1" applyFont="1" applyFill="1" applyBorder="1" applyAlignment="1">
      <alignment vertical="center"/>
    </xf>
    <xf numFmtId="10" fontId="17" fillId="4" borderId="17" xfId="14" applyNumberFormat="1" applyFont="1" applyFill="1" applyBorder="1" applyAlignment="1">
      <alignment vertical="center"/>
    </xf>
    <xf numFmtId="0" fontId="17" fillId="6" borderId="17" xfId="14" applyFont="1" applyFill="1" applyBorder="1" applyAlignment="1">
      <alignment horizontal="right" vertical="center" wrapText="1"/>
    </xf>
    <xf numFmtId="0" fontId="1" fillId="8" borderId="17" xfId="14" applyFont="1" applyFill="1" applyBorder="1" applyAlignment="1">
      <alignment horizontal="left" vertical="center" wrapText="1"/>
    </xf>
    <xf numFmtId="0" fontId="19" fillId="0" borderId="17" xfId="14" applyFont="1" applyFill="1" applyBorder="1" applyAlignment="1">
      <alignment horizontal="left" vertical="center" wrapText="1"/>
    </xf>
    <xf numFmtId="0" fontId="19" fillId="6" borderId="17" xfId="14" applyFont="1" applyFill="1" applyBorder="1" applyAlignment="1">
      <alignment horizontal="left" vertical="center"/>
    </xf>
    <xf numFmtId="0" fontId="19" fillId="0" borderId="17" xfId="14" applyFont="1" applyFill="1" applyBorder="1" applyAlignment="1">
      <alignment horizontal="center" vertical="center"/>
    </xf>
    <xf numFmtId="0" fontId="19" fillId="0" borderId="17" xfId="14" applyFont="1" applyFill="1" applyBorder="1" applyAlignment="1">
      <alignment horizontal="left" vertical="center"/>
    </xf>
    <xf numFmtId="0" fontId="17" fillId="0" borderId="17" xfId="14" applyFont="1" applyFill="1" applyBorder="1" applyAlignment="1">
      <alignment horizontal="center" vertical="center"/>
    </xf>
    <xf numFmtId="0" fontId="17" fillId="0" borderId="17" xfId="14" applyFont="1" applyFill="1" applyBorder="1" applyAlignment="1">
      <alignment horizontal="left" vertical="center"/>
    </xf>
    <xf numFmtId="0" fontId="22" fillId="0" borderId="17" xfId="14" applyFont="1" applyFill="1" applyBorder="1" applyAlignment="1">
      <alignment horizontal="right" vertical="center"/>
    </xf>
    <xf numFmtId="0" fontId="17" fillId="0" borderId="17" xfId="14" applyFont="1" applyFill="1" applyBorder="1" applyAlignment="1">
      <alignment horizontal="center"/>
    </xf>
    <xf numFmtId="0" fontId="17" fillId="6" borderId="17" xfId="14" applyFont="1" applyFill="1" applyBorder="1" applyAlignment="1">
      <alignment horizontal="right" vertical="center"/>
    </xf>
    <xf numFmtId="0" fontId="19" fillId="6" borderId="17" xfId="14" applyFont="1" applyFill="1" applyBorder="1" applyAlignment="1">
      <alignment horizontal="center" vertical="center"/>
    </xf>
    <xf numFmtId="0" fontId="17" fillId="0" borderId="17" xfId="14" applyFont="1" applyFill="1" applyBorder="1" applyAlignment="1">
      <alignment horizontal="left" vertical="center" wrapText="1"/>
    </xf>
    <xf numFmtId="0" fontId="17" fillId="0" borderId="17" xfId="14" applyFont="1" applyBorder="1" applyAlignment="1">
      <alignment horizontal="right" vertical="center" wrapText="1"/>
    </xf>
    <xf numFmtId="9" fontId="17" fillId="4" borderId="17" xfId="14" applyNumberFormat="1" applyFont="1" applyFill="1" applyBorder="1" applyAlignment="1">
      <alignment horizontal="left" vertical="center" wrapText="1"/>
    </xf>
    <xf numFmtId="187" fontId="17" fillId="4" borderId="17" xfId="14" applyNumberFormat="1" applyFont="1" applyFill="1" applyBorder="1" applyAlignment="1">
      <alignment horizontal="left" vertical="center" wrapText="1"/>
    </xf>
    <xf numFmtId="0" fontId="18" fillId="0" borderId="17" xfId="14" applyFont="1" applyFill="1" applyBorder="1" applyAlignment="1">
      <alignment horizontal="left" vertical="center"/>
    </xf>
    <xf numFmtId="0" fontId="24" fillId="0" borderId="17" xfId="14" applyFont="1" applyFill="1" applyBorder="1" applyAlignment="1">
      <alignment horizontal="center" vertical="center"/>
    </xf>
    <xf numFmtId="0" fontId="17" fillId="0" borderId="17" xfId="14" applyFont="1" applyFill="1" applyBorder="1" applyAlignment="1">
      <alignment horizontal="center" vertical="center" wrapText="1"/>
    </xf>
    <xf numFmtId="4" fontId="23" fillId="0" borderId="17" xfId="14" applyNumberFormat="1" applyFont="1" applyFill="1" applyBorder="1" applyAlignment="1">
      <alignment vertical="center"/>
    </xf>
    <xf numFmtId="4" fontId="19" fillId="6" borderId="17" xfId="14" applyNumberFormat="1" applyFont="1" applyFill="1" applyBorder="1" applyAlignment="1">
      <alignment vertical="center"/>
    </xf>
    <xf numFmtId="2" fontId="17" fillId="0" borderId="17" xfId="14" applyNumberFormat="1" applyFont="1" applyFill="1" applyBorder="1" applyAlignment="1">
      <alignment horizontal="right" vertical="center"/>
    </xf>
    <xf numFmtId="0" fontId="17" fillId="0" borderId="17" xfId="14" applyFont="1" applyFill="1" applyBorder="1" applyAlignment="1">
      <alignment horizontal="right" vertical="center"/>
    </xf>
    <xf numFmtId="4" fontId="17" fillId="0" borderId="17" xfId="14" applyNumberFormat="1" applyFont="1" applyFill="1" applyBorder="1" applyAlignment="1">
      <alignment horizontal="right"/>
    </xf>
    <xf numFmtId="4" fontId="17" fillId="6" borderId="17" xfId="14" applyNumberFormat="1" applyFont="1" applyFill="1" applyBorder="1" applyAlignment="1">
      <alignment horizontal="right" vertical="center"/>
    </xf>
    <xf numFmtId="10" fontId="17" fillId="0" borderId="17" xfId="14" applyNumberFormat="1" applyFont="1" applyFill="1" applyBorder="1" applyAlignment="1">
      <alignment horizontal="right" vertical="center"/>
    </xf>
    <xf numFmtId="4" fontId="17" fillId="0" borderId="17" xfId="14" applyNumberFormat="1" applyFont="1" applyFill="1" applyBorder="1" applyAlignment="1">
      <alignment horizontal="right" vertical="center"/>
    </xf>
    <xf numFmtId="10" fontId="17" fillId="0" borderId="17" xfId="14" applyNumberFormat="1" applyFont="1" applyBorder="1" applyAlignment="1">
      <alignment horizontal="right" vertical="center"/>
    </xf>
    <xf numFmtId="183" fontId="17" fillId="0" borderId="17" xfId="14" applyNumberFormat="1" applyFont="1" applyBorder="1" applyAlignment="1">
      <alignment horizontal="right" vertical="center"/>
    </xf>
    <xf numFmtId="183" fontId="17" fillId="6" borderId="17" xfId="14" applyNumberFormat="1" applyFont="1" applyFill="1" applyBorder="1" applyAlignment="1">
      <alignment horizontal="right" vertical="center"/>
    </xf>
    <xf numFmtId="4" fontId="17" fillId="0" borderId="17" xfId="14" applyNumberFormat="1" applyFont="1" applyBorder="1" applyAlignment="1">
      <alignment horizontal="right" vertical="center"/>
    </xf>
    <xf numFmtId="186" fontId="26" fillId="4" borderId="17" xfId="14" applyNumberFormat="1" applyFont="1" applyFill="1" applyBorder="1" applyAlignment="1">
      <alignment vertical="center"/>
    </xf>
    <xf numFmtId="4" fontId="17" fillId="0" borderId="17" xfId="14" applyNumberFormat="1" applyFont="1" applyBorder="1" applyAlignment="1">
      <alignment horizontal="center" vertical="center"/>
    </xf>
    <xf numFmtId="4" fontId="26" fillId="4" borderId="17" xfId="14" applyNumberFormat="1" applyFont="1" applyFill="1" applyBorder="1" applyAlignment="1" applyProtection="1">
      <alignment vertical="center"/>
    </xf>
    <xf numFmtId="3" fontId="26" fillId="4" borderId="17" xfId="14" applyNumberFormat="1" applyFont="1" applyFill="1" applyBorder="1" applyAlignment="1" applyProtection="1">
      <alignment vertical="center"/>
    </xf>
    <xf numFmtId="3" fontId="26" fillId="4" borderId="17" xfId="14" applyNumberFormat="1" applyFont="1" applyFill="1" applyBorder="1" applyAlignment="1">
      <alignment vertical="center"/>
    </xf>
    <xf numFmtId="189" fontId="26" fillId="4" borderId="17" xfId="14" applyNumberFormat="1" applyFont="1" applyFill="1" applyBorder="1" applyAlignment="1">
      <alignment vertical="center"/>
    </xf>
    <xf numFmtId="4" fontId="17" fillId="0" borderId="17" xfId="14" applyNumberFormat="1" applyFont="1" applyBorder="1" applyAlignment="1">
      <alignment horizontal="right" vertical="center" wrapText="1"/>
    </xf>
    <xf numFmtId="4" fontId="17" fillId="4" borderId="17" xfId="14" applyNumberFormat="1" applyFont="1" applyFill="1" applyBorder="1" applyAlignment="1">
      <alignment horizontal="right" vertical="center" wrapText="1"/>
    </xf>
    <xf numFmtId="4" fontId="17" fillId="0" borderId="17" xfId="14" applyNumberFormat="1" applyFont="1" applyBorder="1" applyAlignment="1">
      <alignment horizontal="center" vertical="center" wrapText="1"/>
    </xf>
    <xf numFmtId="2" fontId="17" fillId="0" borderId="17" xfId="14" applyNumberFormat="1" applyFont="1" applyFill="1" applyBorder="1" applyAlignment="1">
      <alignment horizontal="right" vertical="center" wrapText="1"/>
    </xf>
    <xf numFmtId="2" fontId="17" fillId="6" borderId="17" xfId="14" applyNumberFormat="1" applyFont="1" applyFill="1" applyBorder="1" applyAlignment="1">
      <alignment horizontal="right" vertical="center" wrapText="1"/>
    </xf>
    <xf numFmtId="4" fontId="1" fillId="0" borderId="0" xfId="14" applyNumberFormat="1"/>
    <xf numFmtId="0" fontId="25" fillId="0" borderId="17" xfId="14" applyFont="1" applyFill="1" applyBorder="1" applyAlignment="1">
      <alignment horizontal="left" vertical="center" wrapText="1"/>
    </xf>
    <xf numFmtId="0" fontId="19" fillId="6" borderId="17" xfId="14" applyFont="1" applyFill="1" applyBorder="1" applyAlignment="1">
      <alignment horizontal="center"/>
    </xf>
    <xf numFmtId="0" fontId="22" fillId="0" borderId="17" xfId="14" applyFont="1" applyFill="1" applyBorder="1" applyAlignment="1">
      <alignment horizontal="center"/>
    </xf>
    <xf numFmtId="0" fontId="22" fillId="0" borderId="17" xfId="14" applyFont="1" applyFill="1" applyBorder="1" applyAlignment="1">
      <alignment horizontal="left" vertical="center"/>
    </xf>
    <xf numFmtId="0" fontId="18" fillId="0" borderId="17" xfId="14" applyFont="1" applyFill="1" applyBorder="1" applyAlignment="1">
      <alignment horizontal="left" vertical="center" wrapText="1"/>
    </xf>
    <xf numFmtId="0" fontId="8" fillId="0" borderId="17" xfId="14" applyFont="1" applyFill="1" applyBorder="1" applyAlignment="1">
      <alignment horizontal="center" vertical="center"/>
    </xf>
    <xf numFmtId="0" fontId="8" fillId="0" borderId="17" xfId="14" applyFont="1" applyFill="1" applyBorder="1" applyAlignment="1">
      <alignment horizontal="left" vertical="center"/>
    </xf>
    <xf numFmtId="4" fontId="19" fillId="0" borderId="17" xfId="14" applyNumberFormat="1" applyFont="1" applyFill="1" applyBorder="1" applyAlignment="1">
      <alignment horizontal="right" vertical="center" wrapText="1"/>
    </xf>
    <xf numFmtId="4" fontId="17" fillId="0" borderId="17" xfId="14" applyNumberFormat="1" applyFont="1" applyFill="1" applyBorder="1" applyAlignment="1"/>
    <xf numFmtId="4" fontId="17" fillId="6" borderId="17" xfId="14" applyNumberFormat="1" applyFont="1" applyFill="1" applyBorder="1" applyAlignment="1">
      <alignment horizontal="right"/>
    </xf>
    <xf numFmtId="4" fontId="19" fillId="6" borderId="17" xfId="14" applyNumberFormat="1" applyFont="1" applyFill="1" applyBorder="1" applyAlignment="1">
      <alignment horizontal="center" vertical="center"/>
    </xf>
    <xf numFmtId="4" fontId="17" fillId="4" borderId="17" xfId="14" applyNumberFormat="1" applyFont="1" applyFill="1" applyBorder="1" applyAlignment="1">
      <alignment horizontal="right" vertical="center"/>
    </xf>
    <xf numFmtId="4" fontId="17" fillId="6" borderId="17" xfId="14" applyNumberFormat="1" applyFont="1" applyFill="1" applyBorder="1" applyAlignment="1">
      <alignment horizontal="right" vertical="center" wrapText="1"/>
    </xf>
    <xf numFmtId="4" fontId="19" fillId="6" borderId="17" xfId="14" applyNumberFormat="1" applyFont="1" applyFill="1" applyBorder="1" applyAlignment="1">
      <alignment horizontal="center" vertical="center" wrapText="1"/>
    </xf>
    <xf numFmtId="0" fontId="18" fillId="0" borderId="17" xfId="14" applyFont="1" applyFill="1" applyBorder="1" applyAlignment="1">
      <alignment horizontal="center" vertical="center"/>
    </xf>
    <xf numFmtId="4" fontId="18" fillId="0" borderId="17" xfId="14" applyNumberFormat="1" applyFont="1" applyFill="1" applyBorder="1" applyAlignment="1">
      <alignment horizontal="right" vertical="center"/>
    </xf>
    <xf numFmtId="10" fontId="17" fillId="4" borderId="17" xfId="14" applyNumberFormat="1" applyFont="1" applyFill="1" applyBorder="1" applyAlignment="1">
      <alignment horizontal="right" vertical="center"/>
    </xf>
    <xf numFmtId="10" fontId="18" fillId="0" borderId="17" xfId="14" applyNumberFormat="1" applyFont="1" applyBorder="1" applyAlignment="1">
      <alignment horizontal="center" vertical="center"/>
    </xf>
    <xf numFmtId="10" fontId="17" fillId="0" borderId="17" xfId="14" applyNumberFormat="1" applyFont="1" applyBorder="1" applyAlignment="1">
      <alignment horizontal="center" vertical="center"/>
    </xf>
    <xf numFmtId="4" fontId="17" fillId="0" borderId="17" xfId="14" applyNumberFormat="1" applyFont="1" applyFill="1" applyBorder="1" applyAlignment="1">
      <alignment horizontal="center" vertical="center"/>
    </xf>
    <xf numFmtId="0" fontId="17" fillId="0" borderId="11" xfId="14" applyFont="1" applyBorder="1" applyAlignment="1">
      <alignment horizontal="center" vertical="center"/>
    </xf>
    <xf numFmtId="10" fontId="1" fillId="0" borderId="0" xfId="14" applyNumberFormat="1" applyAlignment="1">
      <alignment horizontal="right"/>
    </xf>
    <xf numFmtId="10" fontId="17" fillId="0" borderId="11" xfId="14" applyNumberFormat="1" applyFont="1" applyBorder="1" applyAlignment="1">
      <alignment horizontal="center" vertical="center"/>
    </xf>
    <xf numFmtId="10" fontId="1" fillId="0" borderId="0" xfId="14" applyNumberFormat="1"/>
    <xf numFmtId="10" fontId="17" fillId="0" borderId="17" xfId="14" applyNumberFormat="1" applyFont="1" applyBorder="1" applyAlignment="1">
      <alignment horizontal="right" vertical="center" wrapText="1"/>
    </xf>
    <xf numFmtId="10" fontId="1" fillId="0" borderId="11" xfId="14" applyNumberFormat="1" applyBorder="1" applyAlignment="1">
      <alignment vertical="center"/>
    </xf>
    <xf numFmtId="10" fontId="17" fillId="0" borderId="17" xfId="14" applyNumberFormat="1" applyFont="1" applyBorder="1" applyAlignment="1">
      <alignment horizontal="center" vertical="center" wrapText="1"/>
    </xf>
    <xf numFmtId="0" fontId="1" fillId="0" borderId="0" xfId="14" applyAlignment="1">
      <alignment horizontal="right"/>
    </xf>
    <xf numFmtId="10" fontId="17" fillId="4" borderId="17" xfId="14" applyNumberFormat="1" applyFont="1" applyFill="1" applyBorder="1" applyAlignment="1">
      <alignment horizontal="right" vertical="center" wrapText="1"/>
    </xf>
    <xf numFmtId="10" fontId="18" fillId="0" borderId="17" xfId="14" applyNumberFormat="1" applyFont="1" applyBorder="1" applyAlignment="1">
      <alignment horizontal="right" vertical="center"/>
    </xf>
    <xf numFmtId="4" fontId="18" fillId="0" borderId="17" xfId="14" applyNumberFormat="1" applyFont="1" applyBorder="1" applyAlignment="1">
      <alignment horizontal="right" vertical="center"/>
    </xf>
    <xf numFmtId="4" fontId="18" fillId="0" borderId="17" xfId="14" applyNumberFormat="1" applyFont="1" applyFill="1" applyBorder="1" applyAlignment="1">
      <alignment horizontal="center" vertical="center"/>
    </xf>
    <xf numFmtId="0" fontId="26" fillId="0" borderId="17" xfId="14" applyFont="1" applyFill="1" applyBorder="1" applyAlignment="1">
      <alignment horizontal="left" vertical="center"/>
    </xf>
    <xf numFmtId="49" fontId="8" fillId="0" borderId="17" xfId="14" applyNumberFormat="1" applyFont="1" applyBorder="1" applyAlignment="1">
      <alignment horizontal="left" vertical="center" wrapText="1"/>
    </xf>
    <xf numFmtId="49" fontId="17" fillId="6" borderId="17" xfId="14" applyNumberFormat="1" applyFont="1" applyFill="1" applyBorder="1" applyAlignment="1">
      <alignment horizontal="left" vertical="center" wrapText="1"/>
    </xf>
    <xf numFmtId="49" fontId="17" fillId="0" borderId="17" xfId="14" applyNumberFormat="1" applyFont="1" applyBorder="1" applyAlignment="1">
      <alignment horizontal="center" vertical="center" wrapText="1"/>
    </xf>
    <xf numFmtId="49" fontId="17" fillId="0" borderId="17" xfId="14" applyNumberFormat="1" applyFont="1" applyBorder="1" applyAlignment="1">
      <alignment horizontal="left" vertical="center" wrapText="1"/>
    </xf>
    <xf numFmtId="49" fontId="17" fillId="6" borderId="17" xfId="14" applyNumberFormat="1" applyFont="1" applyFill="1" applyBorder="1" applyAlignment="1">
      <alignment horizontal="right" vertical="center" wrapText="1"/>
    </xf>
    <xf numFmtId="0" fontId="8" fillId="6" borderId="17" xfId="14" applyFont="1" applyFill="1" applyBorder="1" applyAlignment="1">
      <alignment horizontal="left" vertical="center"/>
    </xf>
    <xf numFmtId="0" fontId="27" fillId="6" borderId="17" xfId="14" applyFont="1" applyFill="1" applyBorder="1" applyAlignment="1">
      <alignment horizontal="center" vertical="center" wrapText="1"/>
    </xf>
    <xf numFmtId="0" fontId="18" fillId="0" borderId="17" xfId="14" applyFont="1" applyBorder="1" applyAlignment="1">
      <alignment horizontal="center" wrapText="1"/>
    </xf>
    <xf numFmtId="0" fontId="18" fillId="0" borderId="17" xfId="14" applyNumberFormat="1" applyFont="1" applyFill="1" applyBorder="1" applyAlignment="1">
      <alignment horizontal="center" vertical="center"/>
    </xf>
    <xf numFmtId="4" fontId="18" fillId="0" borderId="17" xfId="14" applyNumberFormat="1" applyFont="1" applyBorder="1" applyAlignment="1">
      <alignment horizontal="center" vertical="center"/>
    </xf>
    <xf numFmtId="3" fontId="18" fillId="4" borderId="17" xfId="14" applyNumberFormat="1" applyFont="1" applyFill="1" applyBorder="1" applyAlignment="1">
      <alignment horizontal="center" vertical="center"/>
    </xf>
    <xf numFmtId="4" fontId="18" fillId="0" borderId="17" xfId="14" applyNumberFormat="1" applyFont="1" applyBorder="1" applyAlignment="1">
      <alignment horizontal="center" vertical="center" wrapText="1"/>
    </xf>
    <xf numFmtId="0" fontId="27" fillId="7" borderId="17" xfId="14" applyFont="1" applyFill="1" applyBorder="1" applyAlignment="1">
      <alignment horizontal="center" vertical="center" wrapText="1"/>
    </xf>
    <xf numFmtId="0" fontId="32" fillId="0" borderId="17" xfId="14" applyFont="1" applyBorder="1" applyAlignment="1">
      <alignment horizontal="center" wrapText="1"/>
    </xf>
    <xf numFmtId="2" fontId="18" fillId="0" borderId="17" xfId="14" applyNumberFormat="1" applyFont="1" applyBorder="1" applyAlignment="1">
      <alignment horizontal="center" vertical="center"/>
    </xf>
    <xf numFmtId="181" fontId="18" fillId="0" borderId="17" xfId="14" applyNumberFormat="1" applyFont="1" applyBorder="1" applyAlignment="1">
      <alignment horizontal="center" vertical="center" wrapText="1"/>
    </xf>
    <xf numFmtId="0" fontId="12" fillId="0" borderId="17" xfId="14" applyFont="1" applyBorder="1" applyAlignment="1">
      <alignment horizontal="left" vertical="center" wrapText="1"/>
    </xf>
    <xf numFmtId="0" fontId="26" fillId="0" borderId="17" xfId="14" applyFont="1" applyBorder="1" applyAlignment="1">
      <alignment horizontal="center" wrapText="1"/>
    </xf>
    <xf numFmtId="0" fontId="18" fillId="0" borderId="17" xfId="14" applyFont="1" applyFill="1" applyBorder="1" applyAlignment="1">
      <alignment horizontal="center" vertical="center" wrapText="1"/>
    </xf>
    <xf numFmtId="4" fontId="18" fillId="0" borderId="17" xfId="14" applyNumberFormat="1" applyFont="1" applyFill="1" applyBorder="1" applyAlignment="1">
      <alignment horizontal="center" vertical="center" wrapText="1"/>
    </xf>
    <xf numFmtId="3" fontId="18" fillId="4" borderId="17" xfId="14" applyNumberFormat="1" applyFont="1" applyFill="1" applyBorder="1" applyAlignment="1">
      <alignment horizontal="center" vertical="center" wrapText="1"/>
    </xf>
    <xf numFmtId="0" fontId="17" fillId="7" borderId="17" xfId="14" applyFont="1" applyFill="1" applyBorder="1" applyAlignment="1">
      <alignment horizontal="center" vertical="center" wrapText="1"/>
    </xf>
    <xf numFmtId="49" fontId="18" fillId="0" borderId="17" xfId="14" applyNumberFormat="1" applyFont="1" applyBorder="1" applyAlignment="1">
      <alignment horizontal="center" vertical="center"/>
    </xf>
    <xf numFmtId="0" fontId="18" fillId="0" borderId="17" xfId="14" applyNumberFormat="1" applyFont="1" applyBorder="1" applyAlignment="1">
      <alignment horizontal="center" vertical="center"/>
    </xf>
    <xf numFmtId="2" fontId="18" fillId="0" borderId="17" xfId="14" applyNumberFormat="1" applyFont="1" applyBorder="1" applyAlignment="1">
      <alignment horizontal="right" vertical="center" wrapText="1"/>
    </xf>
    <xf numFmtId="2" fontId="18" fillId="6" borderId="17" xfId="14" applyNumberFormat="1" applyFont="1" applyFill="1" applyBorder="1" applyAlignment="1">
      <alignment horizontal="right" vertical="center" wrapText="1"/>
    </xf>
    <xf numFmtId="0" fontId="17" fillId="6" borderId="17" xfId="14" applyFont="1" applyFill="1" applyBorder="1" applyAlignment="1">
      <alignment horizontal="center" vertical="top" wrapText="1"/>
    </xf>
    <xf numFmtId="0" fontId="33" fillId="0" borderId="17" xfId="14" applyFont="1" applyBorder="1" applyAlignment="1">
      <alignment horizontal="left" wrapText="1"/>
    </xf>
    <xf numFmtId="49" fontId="26" fillId="0" borderId="17" xfId="14" applyNumberFormat="1" applyFont="1" applyBorder="1" applyAlignment="1">
      <alignment horizontal="center" vertical="center"/>
    </xf>
    <xf numFmtId="0" fontId="26" fillId="0" borderId="17" xfId="14" applyNumberFormat="1" applyFont="1" applyBorder="1" applyAlignment="1">
      <alignment horizontal="center" vertical="center"/>
    </xf>
    <xf numFmtId="0" fontId="18" fillId="0" borderId="17" xfId="14" applyFont="1" applyBorder="1" applyAlignment="1">
      <alignment horizontal="center" vertical="center"/>
    </xf>
    <xf numFmtId="49" fontId="18" fillId="0" borderId="17" xfId="14" applyNumberFormat="1" applyFont="1" applyFill="1" applyBorder="1" applyAlignment="1">
      <alignment horizontal="center" vertical="center" wrapText="1"/>
    </xf>
    <xf numFmtId="188" fontId="18" fillId="0" borderId="17" xfId="14" applyNumberFormat="1" applyFont="1" applyBorder="1" applyAlignment="1">
      <alignment horizontal="center" vertical="center"/>
    </xf>
    <xf numFmtId="3" fontId="26" fillId="4" borderId="17" xfId="14" applyNumberFormat="1" applyFont="1" applyFill="1" applyBorder="1" applyAlignment="1">
      <alignment horizontal="center" vertical="center"/>
    </xf>
    <xf numFmtId="0" fontId="18" fillId="0" borderId="17" xfId="14" applyFont="1" applyBorder="1" applyAlignment="1">
      <alignment horizontal="right" vertical="center" wrapText="1"/>
    </xf>
    <xf numFmtId="0" fontId="18" fillId="7" borderId="17" xfId="14" applyFont="1" applyFill="1" applyBorder="1" applyAlignment="1">
      <alignment horizontal="center" vertical="center" wrapText="1"/>
    </xf>
    <xf numFmtId="0" fontId="1" fillId="0" borderId="17" xfId="14" applyFont="1" applyBorder="1" applyAlignment="1">
      <alignment horizontal="left" wrapText="1"/>
    </xf>
    <xf numFmtId="0" fontId="18" fillId="0" borderId="17" xfId="14" applyFont="1" applyBorder="1" applyAlignment="1">
      <alignment horizontal="center"/>
    </xf>
    <xf numFmtId="0" fontId="12" fillId="6" borderId="17" xfId="14" applyFont="1" applyFill="1" applyBorder="1" applyAlignment="1">
      <alignment horizontal="center" vertical="center" wrapText="1"/>
    </xf>
    <xf numFmtId="0" fontId="1" fillId="6" borderId="17" xfId="14" applyFont="1" applyFill="1" applyBorder="1" applyAlignment="1">
      <alignment horizontal="center" vertical="top" wrapText="1"/>
    </xf>
    <xf numFmtId="0" fontId="1" fillId="0" borderId="17" xfId="14" applyFont="1" applyBorder="1" applyAlignment="1">
      <alignment wrapText="1"/>
    </xf>
    <xf numFmtId="181" fontId="18" fillId="0" borderId="17" xfId="14" applyNumberFormat="1" applyFont="1" applyBorder="1" applyAlignment="1">
      <alignment horizontal="center" vertical="center"/>
    </xf>
    <xf numFmtId="188" fontId="18" fillId="0" borderId="17" xfId="14" applyNumberFormat="1" applyFont="1" applyBorder="1" applyAlignment="1">
      <alignment vertical="center"/>
    </xf>
    <xf numFmtId="0" fontId="1" fillId="0" borderId="17" xfId="14" applyFont="1" applyBorder="1"/>
    <xf numFmtId="38" fontId="18" fillId="0" borderId="17" xfId="14" applyNumberFormat="1" applyFont="1" applyBorder="1" applyAlignment="1">
      <alignment horizontal="center"/>
    </xf>
    <xf numFmtId="181" fontId="18" fillId="0" borderId="17" xfId="14" applyNumberFormat="1" applyFont="1" applyBorder="1" applyAlignment="1">
      <alignment horizontal="center"/>
    </xf>
    <xf numFmtId="188" fontId="18" fillId="0" borderId="17" xfId="14" applyNumberFormat="1" applyFont="1" applyBorder="1"/>
    <xf numFmtId="0" fontId="17" fillId="0" borderId="17" xfId="14" applyFont="1" applyBorder="1" applyAlignment="1">
      <alignment horizontal="left" vertical="center"/>
    </xf>
    <xf numFmtId="0" fontId="18" fillId="0" borderId="17" xfId="14" applyNumberFormat="1" applyFont="1" applyBorder="1" applyAlignment="1">
      <alignment horizontal="center" wrapText="1"/>
    </xf>
    <xf numFmtId="2" fontId="18" fillId="0" borderId="17" xfId="14" applyNumberFormat="1" applyFont="1" applyBorder="1" applyAlignment="1">
      <alignment horizontal="center"/>
    </xf>
    <xf numFmtId="3" fontId="18" fillId="4" borderId="17" xfId="14" applyNumberFormat="1" applyFont="1" applyFill="1" applyBorder="1" applyAlignment="1">
      <alignment horizontal="center"/>
    </xf>
    <xf numFmtId="0" fontId="8" fillId="0" borderId="17" xfId="14" applyFont="1" applyBorder="1" applyAlignment="1">
      <alignment horizontal="left" vertical="center"/>
    </xf>
    <xf numFmtId="0" fontId="17" fillId="0" borderId="17" xfId="14" applyFont="1" applyBorder="1" applyAlignment="1">
      <alignment horizontal="left"/>
    </xf>
    <xf numFmtId="4" fontId="17" fillId="0" borderId="17" xfId="14" applyNumberFormat="1" applyFont="1" applyBorder="1" applyAlignment="1">
      <alignment horizontal="center"/>
    </xf>
    <xf numFmtId="39" fontId="17" fillId="0" borderId="17" xfId="14" applyNumberFormat="1" applyFont="1" applyBorder="1" applyAlignment="1">
      <alignment horizontal="right"/>
    </xf>
    <xf numFmtId="0" fontId="17" fillId="0" borderId="17" xfId="14" applyFont="1" applyBorder="1" applyAlignment="1">
      <alignment horizontal="left" wrapText="1"/>
    </xf>
    <xf numFmtId="39" fontId="17" fillId="0" borderId="17" xfId="14" applyNumberFormat="1" applyFont="1" applyBorder="1" applyAlignment="1">
      <alignment horizontal="right" vertical="center"/>
    </xf>
    <xf numFmtId="0" fontId="18" fillId="6" borderId="17" xfId="14" applyFont="1" applyFill="1" applyBorder="1" applyAlignment="1">
      <alignment horizontal="right" wrapText="1"/>
    </xf>
    <xf numFmtId="39" fontId="18" fillId="6" borderId="17" xfId="14" applyNumberFormat="1" applyFont="1" applyFill="1" applyBorder="1" applyAlignment="1">
      <alignment horizontal="right"/>
    </xf>
    <xf numFmtId="4" fontId="18" fillId="0" borderId="17" xfId="14" applyNumberFormat="1" applyFont="1" applyBorder="1" applyAlignment="1">
      <alignment horizontal="right" vertical="center" wrapText="1"/>
    </xf>
    <xf numFmtId="4" fontId="18" fillId="6" borderId="17" xfId="14" applyNumberFormat="1" applyFont="1" applyFill="1" applyBorder="1" applyAlignment="1">
      <alignment horizontal="right" vertical="center"/>
    </xf>
    <xf numFmtId="4" fontId="18" fillId="0" borderId="17" xfId="14" applyNumberFormat="1" applyFont="1" applyBorder="1" applyAlignment="1">
      <alignment vertical="center"/>
    </xf>
    <xf numFmtId="4" fontId="18" fillId="0" borderId="17" xfId="14" applyNumberFormat="1" applyFont="1" applyBorder="1"/>
    <xf numFmtId="4" fontId="18" fillId="0" borderId="17" xfId="14" applyNumberFormat="1" applyFont="1" applyBorder="1" applyAlignment="1">
      <alignment horizontal="right"/>
    </xf>
    <xf numFmtId="0" fontId="27" fillId="0" borderId="17" xfId="14" applyFont="1" applyBorder="1" applyAlignment="1">
      <alignment horizontal="left" wrapText="1"/>
    </xf>
    <xf numFmtId="39" fontId="18" fillId="6" borderId="17" xfId="14" applyNumberFormat="1" applyFont="1" applyFill="1" applyBorder="1" applyAlignment="1">
      <alignment horizontal="right" vertical="center"/>
    </xf>
    <xf numFmtId="0" fontId="17" fillId="0" borderId="17" xfId="14" applyFont="1" applyBorder="1" applyAlignment="1">
      <alignment horizontal="justify" wrapText="1"/>
    </xf>
    <xf numFmtId="39" fontId="18" fillId="0" borderId="17" xfId="14" applyNumberFormat="1" applyFont="1" applyBorder="1" applyAlignment="1">
      <alignment horizontal="right"/>
    </xf>
    <xf numFmtId="0" fontId="18" fillId="0" borderId="17" xfId="14" applyFont="1" applyBorder="1" applyAlignment="1">
      <alignment horizontal="right" wrapText="1"/>
    </xf>
    <xf numFmtId="0" fontId="30" fillId="0" borderId="17" xfId="14" applyFont="1" applyBorder="1" applyAlignment="1">
      <alignment horizontal="right" wrapText="1"/>
    </xf>
    <xf numFmtId="0" fontId="11" fillId="0" borderId="17" xfId="14" applyFont="1" applyFill="1" applyBorder="1" applyAlignment="1">
      <alignment horizontal="left" vertical="center" wrapText="1"/>
    </xf>
    <xf numFmtId="0" fontId="11" fillId="0" borderId="17" xfId="14" applyFont="1" applyBorder="1" applyAlignment="1">
      <alignment horizontal="left" vertical="center" wrapText="1"/>
    </xf>
    <xf numFmtId="0" fontId="11" fillId="0" borderId="17" xfId="14" applyFont="1" applyBorder="1" applyAlignment="1">
      <alignment horizontal="justify" vertical="center" wrapText="1"/>
    </xf>
    <xf numFmtId="0" fontId="21" fillId="0" borderId="17" xfId="14" applyFont="1" applyBorder="1" applyAlignment="1">
      <alignment horizontal="center"/>
    </xf>
    <xf numFmtId="4" fontId="29" fillId="0" borderId="17" xfId="14" applyNumberFormat="1" applyFont="1" applyBorder="1" applyAlignment="1">
      <alignment horizontal="right" vertical="center" wrapText="1"/>
    </xf>
    <xf numFmtId="0" fontId="17" fillId="7" borderId="17" xfId="14" applyFont="1" applyFill="1" applyBorder="1" applyAlignment="1">
      <alignment horizontal="justify" vertical="center" wrapText="1"/>
    </xf>
    <xf numFmtId="0" fontId="1" fillId="0" borderId="0" xfId="14" applyFont="1" applyAlignment="1">
      <alignment horizontal="center" vertical="center"/>
    </xf>
    <xf numFmtId="0" fontId="1" fillId="0" borderId="0" xfId="14" applyFont="1" applyFill="1" applyBorder="1" applyAlignment="1">
      <alignment vertical="center"/>
    </xf>
    <xf numFmtId="0" fontId="1" fillId="0" borderId="0" xfId="14" applyFont="1" applyFill="1" applyAlignment="1">
      <alignment vertical="center"/>
    </xf>
    <xf numFmtId="0" fontId="1" fillId="0" borderId="0" xfId="14" applyFont="1" applyAlignment="1">
      <alignment vertical="center"/>
    </xf>
    <xf numFmtId="0" fontId="17" fillId="0" borderId="21" xfId="14" applyFont="1" applyBorder="1" applyAlignment="1">
      <alignment horizontal="center" vertical="center"/>
    </xf>
    <xf numFmtId="0" fontId="1" fillId="0" borderId="22" xfId="14" applyFont="1" applyBorder="1" applyAlignment="1">
      <alignment horizontal="center" vertical="center"/>
    </xf>
    <xf numFmtId="0" fontId="1" fillId="0" borderId="22" xfId="14" applyFont="1" applyBorder="1" applyAlignment="1">
      <alignment horizontal="center" vertical="center" wrapText="1"/>
    </xf>
    <xf numFmtId="0" fontId="1" fillId="0" borderId="22" xfId="14" applyFont="1" applyBorder="1" applyAlignment="1">
      <alignment horizontal="justify" vertical="center" wrapText="1"/>
    </xf>
    <xf numFmtId="3" fontId="1" fillId="4" borderId="22" xfId="14" applyNumberFormat="1" applyFont="1" applyFill="1" applyBorder="1" applyAlignment="1">
      <alignment vertical="center"/>
    </xf>
    <xf numFmtId="4" fontId="1" fillId="4" borderId="22" xfId="14" applyNumberFormat="1" applyFont="1" applyFill="1" applyBorder="1" applyAlignment="1">
      <alignment vertical="center"/>
    </xf>
    <xf numFmtId="0" fontId="17" fillId="0" borderId="22" xfId="14" applyFont="1" applyBorder="1" applyAlignment="1">
      <alignment horizontal="center" vertical="center"/>
    </xf>
    <xf numFmtId="0" fontId="30" fillId="0" borderId="22" xfId="14" applyFont="1" applyBorder="1" applyAlignment="1">
      <alignment horizontal="justify" vertical="center" wrapText="1"/>
    </xf>
    <xf numFmtId="0" fontId="1" fillId="0" borderId="22" xfId="14" applyFont="1" applyBorder="1" applyAlignment="1">
      <alignment vertical="center" wrapText="1"/>
    </xf>
    <xf numFmtId="0" fontId="1" fillId="0" borderId="0" xfId="14" applyFont="1" applyFill="1" applyBorder="1" applyAlignment="1">
      <alignment vertical="center" wrapText="1"/>
    </xf>
    <xf numFmtId="0" fontId="1" fillId="0" borderId="0" xfId="14" applyFont="1" applyFill="1" applyBorder="1" applyAlignment="1">
      <alignment horizontal="center" vertical="center" wrapText="1"/>
    </xf>
    <xf numFmtId="3" fontId="34" fillId="0" borderId="0" xfId="14" applyNumberFormat="1" applyFont="1" applyFill="1" applyBorder="1" applyAlignment="1">
      <alignment vertical="center"/>
    </xf>
    <xf numFmtId="0" fontId="18" fillId="0" borderId="0" xfId="14" applyFont="1" applyFill="1" applyBorder="1" applyAlignment="1">
      <alignment horizontal="center" vertical="center"/>
    </xf>
    <xf numFmtId="0" fontId="8" fillId="0" borderId="22" xfId="14" applyFont="1" applyBorder="1" applyAlignment="1">
      <alignment horizontal="center" vertical="center"/>
    </xf>
    <xf numFmtId="0" fontId="9" fillId="0" borderId="22" xfId="14" applyFont="1" applyFill="1" applyBorder="1" applyAlignment="1">
      <alignment horizontal="left" vertical="center" wrapText="1"/>
    </xf>
    <xf numFmtId="0" fontId="11" fillId="0" borderId="22" xfId="14" applyFont="1" applyBorder="1" applyAlignment="1">
      <alignment horizontal="center" vertical="center"/>
    </xf>
    <xf numFmtId="3" fontId="8" fillId="0" borderId="0" xfId="14" applyNumberFormat="1" applyFont="1" applyFill="1" applyBorder="1" applyAlignment="1">
      <alignment vertical="center"/>
    </xf>
    <xf numFmtId="0" fontId="1" fillId="0" borderId="0" xfId="14" applyFont="1" applyFill="1" applyBorder="1" applyAlignment="1">
      <alignment horizontal="center" vertical="center"/>
    </xf>
    <xf numFmtId="0" fontId="8" fillId="0" borderId="0" xfId="14" applyFont="1" applyFill="1" applyBorder="1" applyAlignment="1">
      <alignment horizontal="center" vertical="center"/>
    </xf>
    <xf numFmtId="0" fontId="8" fillId="7" borderId="17" xfId="14" applyFont="1" applyFill="1" applyBorder="1" applyAlignment="1">
      <alignment horizontal="right" vertical="center"/>
    </xf>
    <xf numFmtId="177" fontId="35" fillId="7" borderId="17" xfId="14" applyNumberFormat="1" applyFont="1" applyFill="1" applyBorder="1" applyAlignment="1">
      <alignment horizontal="center" vertical="center"/>
    </xf>
    <xf numFmtId="0" fontId="8" fillId="7" borderId="17" xfId="14" applyFont="1" applyFill="1" applyBorder="1" applyAlignment="1">
      <alignment horizontal="left" vertical="center"/>
    </xf>
    <xf numFmtId="0" fontId="8" fillId="9" borderId="17" xfId="14" applyFont="1" applyFill="1" applyBorder="1" applyAlignment="1">
      <alignment horizontal="right" vertical="center"/>
    </xf>
    <xf numFmtId="0" fontId="9" fillId="0" borderId="0" xfId="14" applyFont="1" applyBorder="1" applyAlignment="1">
      <alignment horizontal="right" vertical="center"/>
    </xf>
    <xf numFmtId="0" fontId="9" fillId="0" borderId="0" xfId="14" applyFont="1" applyAlignment="1">
      <alignment horizontal="center" vertical="center"/>
    </xf>
    <xf numFmtId="0" fontId="11" fillId="0" borderId="0" xfId="14" applyFont="1" applyBorder="1" applyAlignment="1">
      <alignment vertical="center" wrapText="1"/>
    </xf>
    <xf numFmtId="0" fontId="10" fillId="0" borderId="0" xfId="14" applyFont="1" applyBorder="1" applyAlignment="1">
      <alignment horizontal="left" vertical="center" wrapText="1"/>
    </xf>
    <xf numFmtId="0" fontId="11" fillId="0" borderId="0" xfId="14" applyFont="1" applyBorder="1" applyAlignment="1">
      <alignment horizontal="left" vertical="center" wrapText="1"/>
    </xf>
    <xf numFmtId="0" fontId="29" fillId="0" borderId="0" xfId="14" applyFont="1" applyBorder="1" applyAlignment="1">
      <alignment horizontal="left" vertical="center"/>
    </xf>
    <xf numFmtId="0" fontId="10" fillId="0" borderId="0" xfId="14" applyFont="1" applyBorder="1" applyAlignment="1">
      <alignment horizontal="left" vertical="center"/>
    </xf>
    <xf numFmtId="0" fontId="10" fillId="6" borderId="0" xfId="14" applyFont="1" applyFill="1" applyBorder="1" applyAlignment="1">
      <alignment horizontal="left" vertical="center" wrapText="1"/>
    </xf>
    <xf numFmtId="0" fontId="10" fillId="0" borderId="0" xfId="14" applyFont="1" applyAlignment="1">
      <alignment vertical="center"/>
    </xf>
    <xf numFmtId="0" fontId="10" fillId="0" borderId="0" xfId="14" applyFont="1" applyAlignment="1">
      <alignment horizontal="center" vertical="center"/>
    </xf>
    <xf numFmtId="0" fontId="10" fillId="0" borderId="0" xfId="14" applyFont="1" applyBorder="1" applyAlignment="1">
      <alignment vertical="center" wrapText="1"/>
    </xf>
    <xf numFmtId="0" fontId="11" fillId="0" borderId="0" xfId="14" applyFont="1" applyBorder="1" applyAlignment="1">
      <alignment horizontal="center" vertical="center" wrapText="1"/>
    </xf>
    <xf numFmtId="0" fontId="1" fillId="0" borderId="22" xfId="14" applyFont="1" applyFill="1" applyBorder="1" applyAlignment="1">
      <alignment horizontal="center" vertical="center" wrapText="1"/>
    </xf>
    <xf numFmtId="0" fontId="9" fillId="6" borderId="22" xfId="14" applyFont="1" applyFill="1" applyBorder="1" applyAlignment="1">
      <alignment horizontal="center" vertical="center" wrapText="1"/>
    </xf>
    <xf numFmtId="0" fontId="9" fillId="0" borderId="0" xfId="14" applyFont="1" applyFill="1" applyBorder="1" applyAlignment="1">
      <alignment horizontal="center" vertical="center" wrapText="1"/>
    </xf>
    <xf numFmtId="0" fontId="11" fillId="6" borderId="22" xfId="14" applyFont="1" applyFill="1" applyBorder="1" applyAlignment="1">
      <alignment horizontal="center" vertical="center" wrapText="1"/>
    </xf>
    <xf numFmtId="0" fontId="9" fillId="0" borderId="0" xfId="14" applyFont="1" applyFill="1" applyBorder="1" applyAlignment="1">
      <alignment vertical="center"/>
    </xf>
    <xf numFmtId="0" fontId="35" fillId="9" borderId="17" xfId="14" applyFont="1" applyFill="1" applyBorder="1" applyAlignment="1">
      <alignment horizontal="center" vertical="center"/>
    </xf>
    <xf numFmtId="0" fontId="1" fillId="0" borderId="0" xfId="14" applyFont="1" applyAlignment="1">
      <alignment vertical="center" wrapText="1"/>
    </xf>
    <xf numFmtId="1" fontId="1" fillId="0" borderId="0" xfId="14" applyNumberFormat="1" applyFont="1" applyAlignment="1">
      <alignment vertical="center"/>
    </xf>
    <xf numFmtId="0" fontId="17" fillId="0" borderId="0" xfId="14" applyFont="1" applyFill="1" applyAlignment="1">
      <alignment vertical="center" wrapText="1"/>
    </xf>
    <xf numFmtId="0" fontId="17" fillId="0" borderId="0" xfId="14" applyFont="1" applyFill="1" applyAlignment="1">
      <alignment vertical="center"/>
    </xf>
    <xf numFmtId="0" fontId="1" fillId="0" borderId="0" xfId="14" applyFont="1" applyFill="1" applyBorder="1" applyAlignment="1" applyProtection="1">
      <alignment vertical="center"/>
    </xf>
    <xf numFmtId="0" fontId="1" fillId="0" borderId="0" xfId="14" applyFont="1" applyFill="1" applyAlignment="1" applyProtection="1">
      <alignment vertical="center"/>
    </xf>
    <xf numFmtId="0" fontId="1" fillId="0" borderId="0" xfId="14" applyFont="1" applyFill="1" applyAlignment="1" applyProtection="1">
      <alignment horizontal="center" vertical="center"/>
    </xf>
    <xf numFmtId="176" fontId="36" fillId="0" borderId="0" xfId="51" applyFont="1" applyFill="1" applyBorder="1" applyAlignment="1" applyProtection="1">
      <alignment horizontal="right" vertical="center"/>
    </xf>
    <xf numFmtId="0" fontId="37" fillId="0" borderId="0" xfId="14" applyFont="1" applyFill="1" applyBorder="1" applyAlignment="1" applyProtection="1">
      <alignment horizontal="center" vertical="center"/>
    </xf>
    <xf numFmtId="0" fontId="30" fillId="0" borderId="0" xfId="14" applyFont="1" applyFill="1" applyBorder="1" applyAlignment="1" applyProtection="1">
      <alignment horizontal="center" vertical="center"/>
    </xf>
    <xf numFmtId="0" fontId="1" fillId="0" borderId="0" xfId="14" applyFont="1" applyProtection="1"/>
    <xf numFmtId="0" fontId="38" fillId="0" borderId="0" xfId="14" applyFont="1" applyFill="1" applyBorder="1" applyAlignment="1" applyProtection="1">
      <alignment horizontal="center" vertical="center"/>
    </xf>
    <xf numFmtId="0" fontId="38" fillId="10" borderId="17" xfId="14" applyFont="1" applyFill="1" applyBorder="1" applyAlignment="1" applyProtection="1">
      <alignment horizontal="center" vertical="center" wrapText="1"/>
    </xf>
    <xf numFmtId="176" fontId="38" fillId="10" borderId="17" xfId="51" applyFont="1" applyFill="1" applyBorder="1" applyAlignment="1" applyProtection="1">
      <alignment horizontal="center" vertical="center" wrapText="1"/>
    </xf>
    <xf numFmtId="0" fontId="31" fillId="0" borderId="17" xfId="14" applyFont="1" applyFill="1" applyBorder="1" applyAlignment="1" applyProtection="1">
      <alignment horizontal="left" vertical="center" wrapText="1"/>
    </xf>
    <xf numFmtId="0" fontId="1" fillId="0" borderId="17" xfId="14" applyFont="1" applyFill="1" applyBorder="1" applyAlignment="1" applyProtection="1">
      <alignment horizontal="center" vertical="center" wrapText="1"/>
    </xf>
    <xf numFmtId="4" fontId="39" fillId="4" borderId="17" xfId="51" applyNumberFormat="1" applyFont="1" applyFill="1" applyBorder="1" applyAlignment="1" applyProtection="1">
      <alignment horizontal="right" vertical="center"/>
      <protection locked="0" hidden="1"/>
    </xf>
    <xf numFmtId="176" fontId="39" fillId="0" borderId="17" xfId="51" applyFont="1" applyFill="1" applyBorder="1" applyAlignment="1" applyProtection="1">
      <alignment horizontal="center" vertical="center" wrapText="1"/>
    </xf>
    <xf numFmtId="0" fontId="31" fillId="0" borderId="17" xfId="14" applyFont="1" applyFill="1" applyBorder="1" applyAlignment="1" applyProtection="1">
      <alignment horizontal="center" vertical="center" wrapText="1"/>
    </xf>
    <xf numFmtId="0" fontId="1" fillId="0" borderId="17" xfId="14" applyFont="1" applyFill="1" applyBorder="1" applyAlignment="1" applyProtection="1">
      <alignment horizontal="center" vertical="center"/>
    </xf>
    <xf numFmtId="0" fontId="1" fillId="0" borderId="17" xfId="14" applyFont="1" applyFill="1" applyBorder="1" applyAlignment="1" applyProtection="1">
      <alignment horizontal="left" vertical="center"/>
    </xf>
    <xf numFmtId="0" fontId="1" fillId="0" borderId="17" xfId="14" applyNumberFormat="1" applyFont="1" applyFill="1" applyBorder="1" applyAlignment="1" applyProtection="1">
      <alignment horizontal="left" vertical="center" wrapText="1"/>
    </xf>
    <xf numFmtId="0" fontId="1" fillId="0" borderId="17" xfId="14" applyFont="1" applyFill="1" applyBorder="1" applyAlignment="1" applyProtection="1">
      <alignment horizontal="left" vertical="center" wrapText="1"/>
    </xf>
    <xf numFmtId="1" fontId="1" fillId="0" borderId="17" xfId="14" applyNumberFormat="1" applyFont="1" applyFill="1" applyBorder="1" applyAlignment="1" applyProtection="1">
      <alignment horizontal="center" vertical="center"/>
    </xf>
    <xf numFmtId="0" fontId="22" fillId="10" borderId="17" xfId="14" applyFont="1" applyFill="1" applyBorder="1" applyAlignment="1" applyProtection="1">
      <alignment horizontal="right" vertical="center" wrapText="1"/>
    </xf>
    <xf numFmtId="176" fontId="17" fillId="10" borderId="17" xfId="51" applyFont="1" applyFill="1" applyBorder="1" applyAlignment="1" applyProtection="1">
      <alignment horizontal="right" vertical="center"/>
    </xf>
    <xf numFmtId="0" fontId="22" fillId="0" borderId="0" xfId="14" applyFont="1" applyFill="1" applyBorder="1" applyAlignment="1" applyProtection="1">
      <alignment horizontal="center" vertical="center" wrapText="1"/>
    </xf>
    <xf numFmtId="0" fontId="38" fillId="0" borderId="0" xfId="14" applyFont="1" applyFill="1" applyBorder="1" applyAlignment="1" applyProtection="1">
      <alignment horizontal="center" vertical="center" wrapText="1"/>
    </xf>
    <xf numFmtId="176" fontId="38" fillId="0" borderId="0" xfId="51" applyFont="1" applyFill="1" applyBorder="1" applyAlignment="1" applyProtection="1">
      <alignment horizontal="right" vertical="center"/>
    </xf>
    <xf numFmtId="0" fontId="40" fillId="10" borderId="17" xfId="14" applyFont="1" applyFill="1" applyBorder="1" applyAlignment="1" applyProtection="1">
      <alignment horizontal="center" vertical="center" wrapText="1"/>
    </xf>
    <xf numFmtId="176" fontId="39" fillId="0" borderId="17" xfId="51" applyFont="1" applyFill="1" applyBorder="1" applyAlignment="1" applyProtection="1">
      <alignment horizontal="right" vertical="center"/>
    </xf>
    <xf numFmtId="176" fontId="17" fillId="10" borderId="17" xfId="51" applyFont="1" applyFill="1" applyBorder="1" applyAlignment="1" applyProtection="1">
      <alignment horizontal="center" vertical="center" wrapText="1"/>
    </xf>
    <xf numFmtId="4" fontId="17" fillId="10" borderId="17" xfId="14" applyNumberFormat="1" applyFont="1" applyFill="1" applyBorder="1" applyAlignment="1" applyProtection="1">
      <alignment vertical="center"/>
    </xf>
    <xf numFmtId="0" fontId="41" fillId="10" borderId="23" xfId="14" applyFont="1" applyFill="1" applyBorder="1" applyAlignment="1" applyProtection="1">
      <alignment horizontal="center" vertical="center" wrapText="1"/>
    </xf>
    <xf numFmtId="0" fontId="39" fillId="0" borderId="20" xfId="0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/>
    </xf>
    <xf numFmtId="185" fontId="1" fillId="0" borderId="17" xfId="14" applyNumberFormat="1" applyFont="1" applyFill="1" applyBorder="1" applyAlignment="1" applyProtection="1">
      <alignment horizontal="center" vertical="center"/>
    </xf>
    <xf numFmtId="4" fontId="39" fillId="0" borderId="17" xfId="35" applyNumberFormat="1" applyFont="1" applyFill="1" applyBorder="1" applyAlignment="1" applyProtection="1">
      <alignment horizontal="right" vertical="center"/>
    </xf>
    <xf numFmtId="0" fontId="42" fillId="0" borderId="17" xfId="14" applyFont="1" applyFill="1" applyBorder="1" applyAlignment="1" applyProtection="1">
      <alignment horizontal="left" vertical="center" wrapText="1"/>
    </xf>
    <xf numFmtId="0" fontId="39" fillId="0" borderId="24" xfId="0" applyFont="1" applyFill="1" applyBorder="1" applyAlignment="1">
      <alignment vertical="center" wrapText="1"/>
    </xf>
    <xf numFmtId="0" fontId="39" fillId="0" borderId="17" xfId="0" applyFont="1" applyFill="1" applyBorder="1" applyAlignment="1">
      <alignment horizontal="left" vertical="center" wrapText="1"/>
    </xf>
    <xf numFmtId="0" fontId="39" fillId="0" borderId="17" xfId="0" applyFont="1" applyFill="1" applyBorder="1" applyAlignment="1" applyProtection="1">
      <alignment horizontal="center" vertical="center"/>
      <protection locked="0"/>
    </xf>
    <xf numFmtId="0" fontId="39" fillId="0" borderId="17" xfId="0" applyFont="1" applyFill="1" applyBorder="1" applyAlignment="1">
      <alignment vertical="center" wrapText="1"/>
    </xf>
    <xf numFmtId="0" fontId="39" fillId="0" borderId="17" xfId="0" applyNumberFormat="1" applyFont="1" applyFill="1" applyBorder="1" applyAlignment="1">
      <alignment horizontal="left" vertical="center" wrapText="1"/>
    </xf>
    <xf numFmtId="0" fontId="39" fillId="0" borderId="17" xfId="0" applyFont="1" applyFill="1" applyBorder="1" applyAlignment="1">
      <alignment horizontal="left" vertical="center"/>
    </xf>
    <xf numFmtId="0" fontId="17" fillId="10" borderId="17" xfId="14" applyFont="1" applyFill="1" applyBorder="1" applyAlignment="1" applyProtection="1">
      <alignment horizontal="right" vertical="center"/>
    </xf>
    <xf numFmtId="4" fontId="17" fillId="10" borderId="17" xfId="35" applyNumberFormat="1" applyFont="1" applyFill="1" applyBorder="1" applyAlignment="1" applyProtection="1">
      <alignment horizontal="right" vertical="center"/>
    </xf>
    <xf numFmtId="4" fontId="17" fillId="10" borderId="17" xfId="51" applyNumberFormat="1" applyFont="1" applyFill="1" applyBorder="1" applyAlignment="1" applyProtection="1">
      <alignment horizontal="right" vertical="center"/>
    </xf>
    <xf numFmtId="0" fontId="43" fillId="10" borderId="17" xfId="14" applyFont="1" applyFill="1" applyBorder="1" applyAlignment="1" applyProtection="1">
      <alignment horizontal="center" vertical="center" wrapText="1"/>
    </xf>
    <xf numFmtId="0" fontId="1" fillId="0" borderId="17" xfId="14" applyFont="1" applyFill="1" applyBorder="1" applyAlignment="1" applyProtection="1">
      <alignment vertical="center" wrapText="1"/>
    </xf>
    <xf numFmtId="0" fontId="37" fillId="10" borderId="17" xfId="14" applyFont="1" applyFill="1" applyBorder="1" applyAlignment="1" applyProtection="1">
      <alignment horizontal="center" vertical="center" wrapText="1"/>
    </xf>
    <xf numFmtId="4" fontId="39" fillId="0" borderId="17" xfId="51" applyNumberFormat="1" applyFont="1" applyFill="1" applyBorder="1" applyAlignment="1" applyProtection="1">
      <alignment horizontal="right" vertical="center"/>
    </xf>
    <xf numFmtId="176" fontId="39" fillId="0" borderId="0" xfId="51" applyFont="1" applyFill="1" applyBorder="1" applyAlignment="1" applyProtection="1">
      <alignment horizontal="right" vertical="center"/>
    </xf>
    <xf numFmtId="0" fontId="43" fillId="10" borderId="17" xfId="14" applyFont="1" applyFill="1" applyBorder="1" applyAlignment="1" applyProtection="1">
      <alignment horizontal="center" vertical="center"/>
    </xf>
    <xf numFmtId="4" fontId="1" fillId="0" borderId="17" xfId="14" applyNumberFormat="1" applyFont="1" applyFill="1" applyBorder="1" applyAlignment="1" applyProtection="1">
      <alignment vertical="center"/>
    </xf>
    <xf numFmtId="4" fontId="1" fillId="0" borderId="17" xfId="14" applyNumberFormat="1" applyFont="1" applyFill="1" applyBorder="1" applyAlignment="1" applyProtection="1">
      <alignment horizontal="right" vertical="center"/>
    </xf>
    <xf numFmtId="176" fontId="39" fillId="0" borderId="17" xfId="51" applyFont="1" applyFill="1" applyBorder="1" applyAlignment="1" applyProtection="1">
      <alignment horizontal="center" vertical="center"/>
    </xf>
    <xf numFmtId="4" fontId="17" fillId="10" borderId="17" xfId="14" applyNumberFormat="1" applyFont="1" applyFill="1" applyBorder="1" applyAlignment="1" applyProtection="1">
      <alignment horizontal="right" vertical="center"/>
    </xf>
    <xf numFmtId="176" fontId="17" fillId="10" borderId="17" xfId="51" applyFont="1" applyFill="1" applyBorder="1" applyAlignment="1" applyProtection="1">
      <alignment horizontal="center" vertical="center"/>
    </xf>
    <xf numFmtId="4" fontId="1" fillId="0" borderId="17" xfId="14" applyNumberFormat="1" applyFont="1" applyFill="1" applyBorder="1" applyAlignment="1" applyProtection="1">
      <alignment horizontal="center" vertical="center"/>
    </xf>
    <xf numFmtId="4" fontId="17" fillId="0" borderId="17" xfId="14" applyNumberFormat="1" applyFont="1" applyFill="1" applyBorder="1" applyAlignment="1" applyProtection="1">
      <alignment horizontal="center" vertical="center"/>
    </xf>
    <xf numFmtId="4" fontId="38" fillId="10" borderId="17" xfId="14" applyNumberFormat="1" applyFont="1" applyFill="1" applyBorder="1" applyAlignment="1" applyProtection="1">
      <alignment horizontal="right" vertical="center"/>
    </xf>
    <xf numFmtId="176" fontId="44" fillId="10" borderId="17" xfId="51" applyFont="1" applyFill="1" applyBorder="1" applyAlignment="1" applyProtection="1">
      <alignment horizontal="center" vertical="center"/>
    </xf>
    <xf numFmtId="4" fontId="17" fillId="0" borderId="0" xfId="14" applyNumberFormat="1" applyFont="1" applyFill="1" applyBorder="1" applyAlignment="1" applyProtection="1">
      <alignment vertical="center"/>
    </xf>
    <xf numFmtId="4" fontId="38" fillId="0" borderId="0" xfId="14" applyNumberFormat="1" applyFont="1" applyFill="1" applyBorder="1" applyAlignment="1" applyProtection="1">
      <alignment horizontal="right" vertical="center"/>
    </xf>
    <xf numFmtId="0" fontId="38" fillId="10" borderId="17" xfId="14" applyFont="1" applyFill="1" applyBorder="1" applyAlignment="1" applyProtection="1">
      <alignment horizontal="right" vertical="center" wrapText="1"/>
    </xf>
    <xf numFmtId="0" fontId="44" fillId="10" borderId="17" xfId="14" applyFont="1" applyFill="1" applyBorder="1" applyAlignment="1" applyProtection="1">
      <alignment vertical="center"/>
    </xf>
    <xf numFmtId="0" fontId="33" fillId="0" borderId="0" xfId="14" applyFont="1" applyFill="1" applyBorder="1" applyAlignment="1" applyProtection="1">
      <alignment horizontal="left" vertical="center" wrapText="1"/>
    </xf>
    <xf numFmtId="4" fontId="1" fillId="0" borderId="0" xfId="14" applyNumberFormat="1" applyFont="1" applyFill="1" applyAlignment="1" applyProtection="1">
      <alignment vertical="center"/>
    </xf>
    <xf numFmtId="0" fontId="1" fillId="0" borderId="0" xfId="14" applyFont="1" applyAlignment="1" applyProtection="1">
      <alignment vertical="center"/>
    </xf>
    <xf numFmtId="0" fontId="1" fillId="0" borderId="0" xfId="14" applyFont="1" applyAlignment="1" applyProtection="1">
      <alignment horizontal="center" vertical="center"/>
    </xf>
    <xf numFmtId="49" fontId="17" fillId="0" borderId="0" xfId="14" applyNumberFormat="1" applyFont="1" applyAlignment="1" applyProtection="1">
      <alignment vertical="center"/>
      <protection locked="0" hidden="1"/>
    </xf>
    <xf numFmtId="0" fontId="30" fillId="0" borderId="0" xfId="14" applyFont="1" applyAlignment="1" applyProtection="1">
      <alignment vertical="center"/>
    </xf>
    <xf numFmtId="0" fontId="3" fillId="0" borderId="0" xfId="14" applyFont="1" applyBorder="1" applyAlignment="1" applyProtection="1">
      <alignment vertical="center"/>
    </xf>
    <xf numFmtId="0" fontId="17" fillId="3" borderId="0" xfId="14" applyFont="1" applyFill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11" xfId="14" applyFont="1" applyFill="1" applyBorder="1" applyAlignment="1" applyProtection="1">
      <alignment horizontal="justify" vertical="center" wrapText="1"/>
    </xf>
    <xf numFmtId="0" fontId="42" fillId="11" borderId="12" xfId="14" applyFont="1" applyFill="1" applyBorder="1" applyAlignment="1" applyProtection="1">
      <alignment horizontal="left" vertical="center" wrapText="1"/>
    </xf>
    <xf numFmtId="0" fontId="42" fillId="11" borderId="25" xfId="14" applyFont="1" applyFill="1" applyBorder="1" applyAlignment="1" applyProtection="1">
      <alignment horizontal="left" vertical="center" wrapText="1"/>
    </xf>
    <xf numFmtId="0" fontId="42" fillId="11" borderId="13" xfId="14" applyFont="1" applyFill="1" applyBorder="1" applyAlignment="1" applyProtection="1">
      <alignment horizontal="left" vertical="center" wrapText="1"/>
    </xf>
    <xf numFmtId="0" fontId="1" fillId="0" borderId="7" xfId="14" applyFont="1" applyFill="1" applyBorder="1" applyAlignment="1" applyProtection="1">
      <alignment horizontal="left" vertical="center"/>
    </xf>
    <xf numFmtId="0" fontId="1" fillId="11" borderId="12" xfId="14" applyFont="1" applyFill="1" applyBorder="1" applyAlignment="1" applyProtection="1">
      <alignment horizontal="left" vertical="center"/>
    </xf>
    <xf numFmtId="0" fontId="1" fillId="11" borderId="25" xfId="14" applyFont="1" applyFill="1" applyBorder="1" applyAlignment="1" applyProtection="1">
      <alignment horizontal="left" vertical="center"/>
    </xf>
    <xf numFmtId="0" fontId="1" fillId="11" borderId="13" xfId="14" applyFont="1" applyFill="1" applyBorder="1" applyAlignment="1" applyProtection="1">
      <alignment horizontal="left" vertical="center"/>
    </xf>
    <xf numFmtId="0" fontId="1" fillId="0" borderId="11" xfId="14" applyFont="1" applyFill="1" applyBorder="1" applyAlignment="1" applyProtection="1">
      <alignment horizontal="left" vertical="center"/>
    </xf>
    <xf numFmtId="49" fontId="1" fillId="11" borderId="12" xfId="14" applyNumberFormat="1" applyFont="1" applyFill="1" applyBorder="1" applyAlignment="1" applyProtection="1">
      <alignment horizontal="left" vertical="center"/>
    </xf>
    <xf numFmtId="49" fontId="1" fillId="11" borderId="25" xfId="14" applyNumberFormat="1" applyFont="1" applyFill="1" applyBorder="1" applyAlignment="1" applyProtection="1">
      <alignment horizontal="left" vertical="center"/>
    </xf>
    <xf numFmtId="49" fontId="1" fillId="11" borderId="13" xfId="14" applyNumberFormat="1" applyFont="1" applyFill="1" applyBorder="1" applyAlignment="1" applyProtection="1">
      <alignment horizontal="left" vertical="center"/>
    </xf>
    <xf numFmtId="49" fontId="1" fillId="11" borderId="12" xfId="14" applyNumberFormat="1" applyFont="1" applyFill="1" applyBorder="1" applyAlignment="1" applyProtection="1">
      <alignment horizontal="left" vertical="center"/>
      <protection locked="0" hidden="1"/>
    </xf>
    <xf numFmtId="49" fontId="1" fillId="11" borderId="25" xfId="14" applyNumberFormat="1" applyFont="1" applyFill="1" applyBorder="1" applyAlignment="1" applyProtection="1">
      <alignment horizontal="left" vertical="center"/>
      <protection locked="0" hidden="1"/>
    </xf>
    <xf numFmtId="49" fontId="1" fillId="11" borderId="13" xfId="14" applyNumberFormat="1" applyFont="1" applyFill="1" applyBorder="1" applyAlignment="1" applyProtection="1">
      <alignment horizontal="left" vertical="center"/>
      <protection locked="0" hidden="1"/>
    </xf>
    <xf numFmtId="22" fontId="1" fillId="12" borderId="12" xfId="14" applyNumberFormat="1" applyFont="1" applyFill="1" applyBorder="1" applyAlignment="1" applyProtection="1">
      <alignment horizontal="left" vertical="center"/>
    </xf>
    <xf numFmtId="22" fontId="1" fillId="12" borderId="25" xfId="14" applyNumberFormat="1" applyFont="1" applyFill="1" applyBorder="1" applyAlignment="1" applyProtection="1">
      <alignment horizontal="left" vertical="center"/>
    </xf>
    <xf numFmtId="22" fontId="1" fillId="12" borderId="13" xfId="14" applyNumberFormat="1" applyFont="1" applyFill="1" applyBorder="1" applyAlignment="1" applyProtection="1">
      <alignment horizontal="left" vertical="center"/>
    </xf>
    <xf numFmtId="0" fontId="1" fillId="4" borderId="12" xfId="14" applyFont="1" applyFill="1" applyBorder="1" applyAlignment="1" applyProtection="1">
      <alignment horizontal="left" vertical="center"/>
      <protection locked="0" hidden="1"/>
    </xf>
    <xf numFmtId="0" fontId="1" fillId="4" borderId="25" xfId="14" applyFont="1" applyFill="1" applyBorder="1" applyAlignment="1" applyProtection="1">
      <alignment horizontal="left" vertical="center"/>
      <protection locked="0" hidden="1"/>
    </xf>
    <xf numFmtId="0" fontId="1" fillId="4" borderId="13" xfId="14" applyFont="1" applyFill="1" applyBorder="1" applyAlignment="1" applyProtection="1">
      <alignment horizontal="left" vertical="center"/>
      <protection locked="0" hidden="1"/>
    </xf>
    <xf numFmtId="0" fontId="1" fillId="12" borderId="0" xfId="14" applyFont="1" applyFill="1" applyAlignment="1" applyProtection="1">
      <alignment horizontal="center" vertical="center"/>
    </xf>
    <xf numFmtId="0" fontId="17" fillId="0" borderId="0" xfId="14" applyFont="1" applyFill="1" applyAlignment="1" applyProtection="1">
      <alignment horizontal="center" vertical="center"/>
    </xf>
    <xf numFmtId="0" fontId="30" fillId="13" borderId="26" xfId="14" applyFont="1" applyFill="1" applyBorder="1" applyAlignment="1" applyProtection="1">
      <alignment horizontal="center" vertical="center"/>
    </xf>
    <xf numFmtId="0" fontId="30" fillId="13" borderId="27" xfId="14" applyFont="1" applyFill="1" applyBorder="1" applyAlignment="1" applyProtection="1">
      <alignment horizontal="center" vertical="center"/>
    </xf>
    <xf numFmtId="0" fontId="30" fillId="13" borderId="28" xfId="14" applyFont="1" applyFill="1" applyBorder="1" applyAlignment="1" applyProtection="1">
      <alignment horizontal="center" vertical="center"/>
    </xf>
    <xf numFmtId="0" fontId="17" fillId="12" borderId="22" xfId="14" applyFont="1" applyFill="1" applyBorder="1" applyAlignment="1" applyProtection="1">
      <alignment horizontal="center" vertical="center"/>
    </xf>
    <xf numFmtId="0" fontId="17" fillId="12" borderId="26" xfId="14" applyFont="1" applyFill="1" applyBorder="1" applyAlignment="1" applyProtection="1">
      <alignment horizontal="center" vertical="center"/>
    </xf>
    <xf numFmtId="0" fontId="17" fillId="12" borderId="27" xfId="14" applyFont="1" applyFill="1" applyBorder="1" applyAlignment="1" applyProtection="1">
      <alignment horizontal="center" vertical="center"/>
    </xf>
    <xf numFmtId="0" fontId="1" fillId="0" borderId="22" xfId="14" applyFont="1" applyBorder="1" applyAlignment="1" applyProtection="1">
      <alignment horizontal="center" vertical="center" wrapText="1"/>
    </xf>
    <xf numFmtId="0" fontId="1" fillId="12" borderId="29" xfId="14" applyFont="1" applyFill="1" applyBorder="1" applyAlignment="1" applyProtection="1">
      <alignment horizontal="center" vertical="center"/>
    </xf>
    <xf numFmtId="0" fontId="1" fillId="12" borderId="26" xfId="14" applyFont="1" applyFill="1" applyBorder="1" applyAlignment="1" applyProtection="1">
      <alignment horizontal="left" vertical="center"/>
    </xf>
    <xf numFmtId="0" fontId="1" fillId="12" borderId="28" xfId="14" applyFont="1" applyFill="1" applyBorder="1" applyAlignment="1" applyProtection="1">
      <alignment horizontal="left" vertical="center"/>
    </xf>
    <xf numFmtId="3" fontId="1" fillId="4" borderId="22" xfId="14" applyNumberFormat="1" applyFont="1" applyFill="1" applyBorder="1" applyAlignment="1" applyProtection="1">
      <alignment horizontal="center" vertical="center"/>
      <protection locked="0" hidden="1"/>
    </xf>
    <xf numFmtId="4" fontId="1" fillId="4" borderId="22" xfId="14" applyNumberFormat="1" applyFont="1" applyFill="1" applyBorder="1" applyAlignment="1" applyProtection="1">
      <alignment horizontal="center" vertical="center"/>
      <protection locked="0" hidden="1"/>
    </xf>
    <xf numFmtId="0" fontId="1" fillId="12" borderId="30" xfId="14" applyFont="1" applyFill="1" applyBorder="1" applyAlignment="1" applyProtection="1">
      <alignment horizontal="center" vertical="center"/>
    </xf>
    <xf numFmtId="0" fontId="1" fillId="12" borderId="26" xfId="14" applyFont="1" applyFill="1" applyBorder="1" applyAlignment="1" applyProtection="1">
      <alignment horizontal="left" vertical="center" wrapText="1"/>
    </xf>
    <xf numFmtId="0" fontId="1" fillId="12" borderId="28" xfId="14" applyFont="1" applyFill="1" applyBorder="1" applyAlignment="1" applyProtection="1">
      <alignment horizontal="left" vertical="center" wrapText="1"/>
    </xf>
    <xf numFmtId="0" fontId="1" fillId="12" borderId="22" xfId="14" applyFont="1" applyFill="1" applyBorder="1" applyAlignment="1" applyProtection="1">
      <alignment horizontal="center" vertical="center" wrapText="1"/>
    </xf>
    <xf numFmtId="0" fontId="1" fillId="0" borderId="27" xfId="14" applyFont="1" applyFill="1" applyBorder="1" applyAlignment="1" applyProtection="1">
      <alignment horizontal="center" vertical="center" wrapText="1"/>
    </xf>
    <xf numFmtId="0" fontId="1" fillId="0" borderId="27" xfId="14" applyFont="1" applyFill="1" applyBorder="1" applyAlignment="1" applyProtection="1">
      <alignment horizontal="left" vertical="center" wrapText="1"/>
    </xf>
    <xf numFmtId="3" fontId="1" fillId="0" borderId="27" xfId="14" applyNumberFormat="1" applyFont="1" applyFill="1" applyBorder="1" applyAlignment="1" applyProtection="1">
      <alignment horizontal="center" vertical="center"/>
      <protection locked="0" hidden="1"/>
    </xf>
    <xf numFmtId="4" fontId="1" fillId="0" borderId="27" xfId="14" applyNumberFormat="1" applyFont="1" applyFill="1" applyBorder="1" applyAlignment="1" applyProtection="1">
      <alignment horizontal="center" vertical="center"/>
      <protection locked="0" hidden="1"/>
    </xf>
    <xf numFmtId="0" fontId="1" fillId="12" borderId="31" xfId="14" applyFont="1" applyFill="1" applyBorder="1" applyAlignment="1" applyProtection="1">
      <alignment horizontal="center" vertical="center"/>
    </xf>
    <xf numFmtId="0" fontId="30" fillId="12" borderId="26" xfId="14" applyFont="1" applyFill="1" applyBorder="1" applyAlignment="1" applyProtection="1">
      <alignment horizontal="left" vertical="center" wrapText="1"/>
    </xf>
    <xf numFmtId="0" fontId="30" fillId="12" borderId="28" xfId="14" applyFont="1" applyFill="1" applyBorder="1" applyAlignment="1" applyProtection="1">
      <alignment horizontal="left" vertical="center" wrapText="1"/>
    </xf>
    <xf numFmtId="0" fontId="1" fillId="0" borderId="32" xfId="14" applyFont="1" applyBorder="1" applyAlignment="1" applyProtection="1">
      <alignment horizontal="justify" vertical="center" wrapText="1"/>
    </xf>
    <xf numFmtId="0" fontId="1" fillId="0" borderId="0" xfId="14" applyFont="1" applyAlignment="1" applyProtection="1">
      <alignment horizontal="right" vertical="center"/>
    </xf>
    <xf numFmtId="0" fontId="17" fillId="4" borderId="33" xfId="14" applyNumberFormat="1" applyFont="1" applyFill="1" applyBorder="1" applyAlignment="1" applyProtection="1">
      <alignment horizontal="center" vertical="center"/>
      <protection locked="0" hidden="1"/>
    </xf>
    <xf numFmtId="0" fontId="17" fillId="0" borderId="0" xfId="14" applyNumberFormat="1" applyFont="1" applyFill="1" applyAlignment="1" applyProtection="1">
      <alignment horizontal="center" vertical="center"/>
    </xf>
    <xf numFmtId="10" fontId="45" fillId="0" borderId="0" xfId="14" applyNumberFormat="1" applyFont="1" applyAlignment="1" applyProtection="1">
      <alignment horizontal="center" vertical="center"/>
    </xf>
    <xf numFmtId="0" fontId="45" fillId="0" borderId="0" xfId="14" applyFont="1" applyAlignment="1" applyProtection="1">
      <alignment horizontal="center" vertical="center"/>
    </xf>
    <xf numFmtId="0" fontId="17" fillId="4" borderId="34" xfId="14" applyNumberFormat="1" applyFont="1" applyFill="1" applyBorder="1" applyAlignment="1" applyProtection="1">
      <alignment horizontal="center" vertical="center"/>
      <protection locked="0" hidden="1"/>
    </xf>
    <xf numFmtId="0" fontId="1" fillId="0" borderId="0" xfId="14" applyFont="1" applyFill="1" applyAlignment="1" applyProtection="1">
      <alignment horizontal="right" vertical="center"/>
    </xf>
    <xf numFmtId="184" fontId="1" fillId="0" borderId="0" xfId="14" applyNumberFormat="1" applyFont="1" applyFill="1" applyAlignment="1" applyProtection="1">
      <alignment horizontal="center" vertical="center"/>
    </xf>
    <xf numFmtId="0" fontId="1" fillId="4" borderId="33" xfId="14" applyNumberFormat="1" applyFont="1" applyFill="1" applyBorder="1" applyAlignment="1" applyProtection="1">
      <alignment horizontal="center" vertical="center"/>
      <protection locked="0" hidden="1"/>
    </xf>
    <xf numFmtId="0" fontId="1" fillId="0" borderId="0" xfId="14" applyNumberFormat="1" applyFont="1" applyFill="1" applyAlignment="1" applyProtection="1">
      <alignment horizontal="center" vertical="center"/>
    </xf>
    <xf numFmtId="184" fontId="1" fillId="4" borderId="35" xfId="14" applyNumberFormat="1" applyFont="1" applyFill="1" applyBorder="1" applyAlignment="1" applyProtection="1">
      <alignment horizontal="center" vertical="center"/>
      <protection locked="0" hidden="1"/>
    </xf>
    <xf numFmtId="184" fontId="12" fillId="0" borderId="0" xfId="14" applyNumberFormat="1" applyFont="1" applyFill="1" applyAlignment="1" applyProtection="1">
      <alignment horizontal="left" vertical="center"/>
    </xf>
    <xf numFmtId="182" fontId="1" fillId="4" borderId="35" xfId="14" applyNumberFormat="1" applyFont="1" applyFill="1" applyBorder="1" applyAlignment="1" applyProtection="1">
      <alignment horizontal="center" vertical="center"/>
      <protection locked="0" hidden="1"/>
    </xf>
    <xf numFmtId="182" fontId="12" fillId="0" borderId="0" xfId="14" applyNumberFormat="1" applyFont="1" applyFill="1" applyAlignment="1" applyProtection="1">
      <alignment horizontal="left" vertical="center"/>
    </xf>
    <xf numFmtId="189" fontId="1" fillId="0" borderId="0" xfId="14" applyNumberFormat="1" applyFont="1" applyFill="1" applyAlignment="1" applyProtection="1">
      <alignment horizontal="center" vertical="center"/>
    </xf>
    <xf numFmtId="10" fontId="1" fillId="0" borderId="0" xfId="14" applyNumberFormat="1" applyFont="1" applyFill="1" applyAlignment="1" applyProtection="1">
      <alignment horizontal="center" vertical="center"/>
    </xf>
    <xf numFmtId="0" fontId="1" fillId="12" borderId="0" xfId="14" applyFont="1" applyFill="1" applyAlignment="1" applyProtection="1">
      <alignment horizontal="right" vertical="center"/>
    </xf>
    <xf numFmtId="177" fontId="1" fillId="4" borderId="0" xfId="14" applyNumberFormat="1" applyFont="1" applyFill="1" applyBorder="1" applyAlignment="1" applyProtection="1">
      <alignment horizontal="center" vertical="center"/>
      <protection locked="0" hidden="1"/>
    </xf>
    <xf numFmtId="3" fontId="1" fillId="0" borderId="0" xfId="14" applyNumberFormat="1" applyFont="1" applyFill="1" applyBorder="1" applyAlignment="1" applyProtection="1">
      <alignment horizontal="center" vertical="center"/>
    </xf>
    <xf numFmtId="3" fontId="46" fillId="0" borderId="0" xfId="14" applyNumberFormat="1" applyFont="1" applyFill="1" applyBorder="1" applyAlignment="1" applyProtection="1">
      <alignment horizontal="left" vertical="center"/>
    </xf>
    <xf numFmtId="189" fontId="1" fillId="4" borderId="0" xfId="14" applyNumberFormat="1" applyFont="1" applyFill="1" applyAlignment="1" applyProtection="1">
      <alignment horizontal="center" vertical="center"/>
      <protection locked="0" hidden="1"/>
    </xf>
    <xf numFmtId="4" fontId="1" fillId="4" borderId="34" xfId="14" applyNumberFormat="1" applyFont="1" applyFill="1" applyBorder="1" applyAlignment="1" applyProtection="1">
      <alignment horizontal="center" vertical="center"/>
      <protection locked="0" hidden="1"/>
    </xf>
    <xf numFmtId="182" fontId="1" fillId="0" borderId="0" xfId="14" applyNumberFormat="1" applyFont="1" applyFill="1" applyBorder="1" applyAlignment="1" applyProtection="1">
      <alignment horizontal="center" vertical="center"/>
    </xf>
    <xf numFmtId="189" fontId="1" fillId="4" borderId="35" xfId="14" applyNumberFormat="1" applyFont="1" applyFill="1" applyBorder="1" applyAlignment="1" applyProtection="1">
      <alignment horizontal="center" vertical="center"/>
      <protection locked="0" hidden="1"/>
    </xf>
    <xf numFmtId="3" fontId="1" fillId="4" borderId="35" xfId="14" applyNumberFormat="1" applyFont="1" applyFill="1" applyBorder="1" applyAlignment="1" applyProtection="1">
      <alignment horizontal="center" vertical="center"/>
      <protection locked="0" hidden="1"/>
    </xf>
    <xf numFmtId="182" fontId="1" fillId="4" borderId="34" xfId="14" applyNumberFormat="1" applyFont="1" applyFill="1" applyBorder="1" applyAlignment="1" applyProtection="1">
      <alignment horizontal="center" vertical="center"/>
      <protection locked="0" hidden="1"/>
    </xf>
    <xf numFmtId="0" fontId="17" fillId="0" borderId="36" xfId="14" applyFont="1" applyBorder="1" applyAlignment="1" applyProtection="1">
      <alignment horizontal="center" vertical="center"/>
    </xf>
    <xf numFmtId="0" fontId="17" fillId="0" borderId="37" xfId="14" applyFont="1" applyBorder="1" applyAlignment="1" applyProtection="1">
      <alignment horizontal="center" vertical="center"/>
    </xf>
    <xf numFmtId="0" fontId="17" fillId="0" borderId="0" xfId="14" applyFont="1" applyFill="1" applyBorder="1" applyAlignment="1" applyProtection="1">
      <alignment vertical="center"/>
    </xf>
    <xf numFmtId="0" fontId="17" fillId="0" borderId="0" xfId="14" applyFont="1" applyFill="1" applyBorder="1" applyAlignment="1" applyProtection="1">
      <alignment horizontal="center" vertical="center"/>
    </xf>
    <xf numFmtId="10" fontId="1" fillId="4" borderId="36" xfId="14" applyNumberFormat="1" applyFont="1" applyFill="1" applyBorder="1" applyAlignment="1" applyProtection="1">
      <alignment horizontal="center" vertical="center"/>
      <protection locked="0" hidden="1"/>
    </xf>
    <xf numFmtId="10" fontId="1" fillId="4" borderId="37" xfId="14" applyNumberFormat="1" applyFont="1" applyFill="1" applyBorder="1" applyAlignment="1" applyProtection="1">
      <alignment horizontal="center" vertical="center"/>
      <protection locked="0" hidden="1"/>
    </xf>
    <xf numFmtId="10" fontId="1" fillId="0" borderId="0" xfId="14" applyNumberFormat="1" applyFont="1" applyFill="1" applyBorder="1" applyAlignment="1" applyProtection="1">
      <alignment horizontal="center" vertical="center"/>
      <protection locked="0" hidden="1"/>
    </xf>
    <xf numFmtId="10" fontId="1" fillId="0" borderId="0" xfId="14" applyNumberFormat="1" applyFont="1" applyFill="1" applyAlignment="1" applyProtection="1">
      <alignment vertical="center"/>
    </xf>
    <xf numFmtId="10" fontId="1" fillId="4" borderId="38" xfId="14" applyNumberFormat="1" applyFont="1" applyFill="1" applyBorder="1" applyAlignment="1" applyProtection="1">
      <alignment horizontal="center" vertical="center"/>
      <protection locked="0" hidden="1"/>
    </xf>
    <xf numFmtId="10" fontId="1" fillId="4" borderId="39" xfId="14" applyNumberFormat="1" applyFont="1" applyFill="1" applyBorder="1" applyAlignment="1" applyProtection="1">
      <alignment horizontal="center" vertical="center"/>
      <protection locked="0" hidden="1"/>
    </xf>
  </cellXfs>
  <cellStyles count="52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Normal 2" xfId="14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40% - Ênfase 1" xfId="31" builtinId="31"/>
    <cellStyle name="Bom" xfId="32" builtinId="26"/>
    <cellStyle name="Ruim" xfId="33" builtinId="27"/>
    <cellStyle name="Neutro" xfId="34" builtinId="28"/>
    <cellStyle name="Moeda 2" xfId="35"/>
    <cellStyle name="20% - Ênfase 5" xfId="36" builtinId="46"/>
    <cellStyle name="Ênfase 1" xfId="37" builtinId="29"/>
    <cellStyle name="20% - Ênfase 1" xfId="38" builtinId="30"/>
    <cellStyle name="60% - Ênfase 1" xfId="39" builtinId="32"/>
    <cellStyle name="20% - Ênfase 6" xfId="40" builtinId="50"/>
    <cellStyle name="Ênfase 2" xfId="41" builtinId="33"/>
    <cellStyle name="20% - Ênfase 2" xfId="42" builtinId="34"/>
    <cellStyle name="60% - Ênfase 2" xfId="43" builtinId="36"/>
    <cellStyle name="40% - Ênfase 3" xfId="44" builtinId="39"/>
    <cellStyle name="60% - Ênfase 3" xfId="45" builtinId="40"/>
    <cellStyle name="20% - Ênfase 4" xfId="46" builtinId="42"/>
    <cellStyle name="60% - Ênfase 4" xfId="47" builtinId="44"/>
    <cellStyle name="40% - Ênfase 5" xfId="48" builtinId="47"/>
    <cellStyle name="60% - Ênfase 5" xfId="49" builtinId="48"/>
    <cellStyle name="60% - Ênfase 6" xfId="50" builtinId="52"/>
    <cellStyle name="Vírgula 2" xfId="51"/>
  </cellStyles>
  <dxfs count="5"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133349</xdr:colOff>
      <xdr:row>64</xdr:row>
      <xdr:rowOff>57150</xdr:rowOff>
    </xdr:from>
    <xdr:to>
      <xdr:col>2</xdr:col>
      <xdr:colOff>1323975</xdr:colOff>
      <xdr:row>67</xdr:row>
      <xdr:rowOff>76200</xdr:rowOff>
    </xdr:to>
    <xdr:sp>
      <xdr:nvSpPr>
        <xdr:cNvPr id="6" name="Seta para a esquerda 5"/>
        <xdr:cNvSpPr/>
      </xdr:nvSpPr>
      <xdr:spPr>
        <a:xfrm>
          <a:off x="3409315" y="12887325"/>
          <a:ext cx="1191260" cy="504825"/>
        </a:xfrm>
        <a:prstGeom prst="lef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900">
              <a:solidFill>
                <a:sysClr val="windowText" lastClr="000000"/>
              </a:solidFill>
              <a:latin typeface="Arial" pitchFamily="7" charset="0"/>
              <a:cs typeface="Arial" pitchFamily="7" charset="0"/>
            </a:rPr>
            <a:t>Assinale com</a:t>
          </a:r>
          <a:r>
            <a:rPr lang="pt-BR" sz="900" baseline="0">
              <a:solidFill>
                <a:sysClr val="windowText" lastClr="000000"/>
              </a:solidFill>
              <a:latin typeface="Arial" pitchFamily="7" charset="0"/>
              <a:cs typeface="Arial" pitchFamily="7" charset="0"/>
            </a:rPr>
            <a:t> "X"</a:t>
          </a:r>
          <a:endParaRPr lang="pt-BR" sz="900">
            <a:latin typeface="Arial" pitchFamily="7" charset="0"/>
            <a:cs typeface="Arial" pitchFamily="7" charset="0"/>
          </a:endParaRPr>
        </a:p>
      </xdr:txBody>
    </xdr:sp>
    <xdr:clientData/>
  </xdr:twoCellAnchor>
  <xdr:twoCellAnchor>
    <xdr:from>
      <xdr:col>5</xdr:col>
      <xdr:colOff>90491</xdr:colOff>
      <xdr:row>15</xdr:row>
      <xdr:rowOff>119063</xdr:rowOff>
    </xdr:from>
    <xdr:to>
      <xdr:col>6</xdr:col>
      <xdr:colOff>119066</xdr:colOff>
      <xdr:row>19</xdr:row>
      <xdr:rowOff>61913</xdr:rowOff>
    </xdr:to>
    <xdr:sp>
      <xdr:nvSpPr>
        <xdr:cNvPr id="7" name="Seta para a esquerda 6"/>
        <xdr:cNvSpPr/>
      </xdr:nvSpPr>
      <xdr:spPr>
        <a:xfrm rot="16200000">
          <a:off x="7591425" y="2552700"/>
          <a:ext cx="59055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57150</xdr:colOff>
      <xdr:row>9</xdr:row>
      <xdr:rowOff>161924</xdr:rowOff>
    </xdr:from>
    <xdr:to>
      <xdr:col>8</xdr:col>
      <xdr:colOff>95250</xdr:colOff>
      <xdr:row>15</xdr:row>
      <xdr:rowOff>76200</xdr:rowOff>
    </xdr:to>
    <xdr:sp>
      <xdr:nvSpPr>
        <xdr:cNvPr id="8" name="CaixaDeTexto 7"/>
        <xdr:cNvSpPr txBox="1"/>
      </xdr:nvSpPr>
      <xdr:spPr>
        <a:xfrm>
          <a:off x="7534275" y="1647190"/>
          <a:ext cx="1866900" cy="886460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200">
              <a:latin typeface="Arial" pitchFamily="7" charset="0"/>
              <a:cs typeface="Arial" pitchFamily="7" charset="0"/>
            </a:rPr>
            <a:t>O</a:t>
          </a:r>
          <a:r>
            <a:rPr lang="pt-BR" sz="1200" baseline="0">
              <a:latin typeface="Arial" pitchFamily="7" charset="0"/>
              <a:cs typeface="Arial" pitchFamily="7" charset="0"/>
            </a:rPr>
            <a:t> licitante deverá preencher todas as células destacadas na cor verde</a:t>
          </a:r>
          <a:endParaRPr lang="pt-BR" sz="1200" baseline="0">
            <a:latin typeface="Arial" pitchFamily="7" charset="0"/>
            <a:cs typeface="Arial" pitchFamily="7" charset="0"/>
          </a:endParaRPr>
        </a:p>
        <a:p>
          <a:endParaRPr lang="pt-BR" sz="1100"/>
        </a:p>
      </xdr:txBody>
    </xdr:sp>
    <xdr:clientData/>
  </xdr:twoCellAnchor>
  <xdr:twoCellAnchor editAs="oneCell">
    <xdr:from>
      <xdr:col>0</xdr:col>
      <xdr:colOff>152400</xdr:colOff>
      <xdr:row>0</xdr:row>
      <xdr:rowOff>152400</xdr:rowOff>
    </xdr:from>
    <xdr:to>
      <xdr:col>0</xdr:col>
      <xdr:colOff>1673860</xdr:colOff>
      <xdr:row>5</xdr:row>
      <xdr:rowOff>140970</xdr:rowOff>
    </xdr:to>
    <xdr:pic>
      <xdr:nvPicPr>
        <xdr:cNvPr id="9" name="Imagem 8" descr="logo_reitoria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2400" y="152400"/>
          <a:ext cx="1521460" cy="7981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295275</xdr:colOff>
      <xdr:row>0</xdr:row>
      <xdr:rowOff>190500</xdr:rowOff>
    </xdr:from>
    <xdr:to>
      <xdr:col>11</xdr:col>
      <xdr:colOff>361950</xdr:colOff>
      <xdr:row>4</xdr:row>
      <xdr:rowOff>219075</xdr:rowOff>
    </xdr:to>
    <xdr:sp>
      <xdr:nvSpPr>
        <xdr:cNvPr id="2" name="CaixaDeTexto 1"/>
        <xdr:cNvSpPr txBox="1"/>
      </xdr:nvSpPr>
      <xdr:spPr>
        <a:xfrm>
          <a:off x="8810625" y="190500"/>
          <a:ext cx="1866900" cy="83248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itchFamily="7" charset="0"/>
              <a:cs typeface="Arial" pitchFamily="7" charset="0"/>
            </a:rPr>
            <a:t>O</a:t>
          </a:r>
          <a:r>
            <a:rPr lang="pt-BR" sz="1200" baseline="0">
              <a:latin typeface="Arial" pitchFamily="7" charset="0"/>
              <a:cs typeface="Arial" pitchFamily="7" charset="0"/>
            </a:rPr>
            <a:t> licitante deverá preencher todas as células destacadas na cor verde</a:t>
          </a:r>
          <a:endParaRPr lang="pt-BR" sz="1200" baseline="0">
            <a:latin typeface="Arial" pitchFamily="7" charset="0"/>
            <a:cs typeface="Arial" pitchFamily="7" charset="0"/>
          </a:endParaRPr>
        </a:p>
        <a:p>
          <a:endParaRPr lang="pt-BR" sz="1100"/>
        </a:p>
      </xdr:txBody>
    </xdr:sp>
    <xdr:clientData/>
  </xdr:twoCellAnchor>
  <xdr:twoCellAnchor>
    <xdr:from>
      <xdr:col>9</xdr:col>
      <xdr:colOff>190501</xdr:colOff>
      <xdr:row>5</xdr:row>
      <xdr:rowOff>19050</xdr:rowOff>
    </xdr:from>
    <xdr:to>
      <xdr:col>10</xdr:col>
      <xdr:colOff>228601</xdr:colOff>
      <xdr:row>10</xdr:row>
      <xdr:rowOff>123825</xdr:rowOff>
    </xdr:to>
    <xdr:sp>
      <xdr:nvSpPr>
        <xdr:cNvPr id="3" name="Seta para a esquerda 2"/>
        <xdr:cNvSpPr/>
      </xdr:nvSpPr>
      <xdr:spPr>
        <a:xfrm rot="16200000">
          <a:off x="9119870" y="1494155"/>
          <a:ext cx="100965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114300</xdr:colOff>
      <xdr:row>1</xdr:row>
      <xdr:rowOff>171450</xdr:rowOff>
    </xdr:from>
    <xdr:to>
      <xdr:col>18</xdr:col>
      <xdr:colOff>590550</xdr:colOff>
      <xdr:row>1</xdr:row>
      <xdr:rowOff>981075</xdr:rowOff>
    </xdr:to>
    <xdr:sp>
      <xdr:nvSpPr>
        <xdr:cNvPr id="2" name="CaixaDeTexto 1"/>
        <xdr:cNvSpPr txBox="1"/>
      </xdr:nvSpPr>
      <xdr:spPr>
        <a:xfrm>
          <a:off x="12153900" y="333375"/>
          <a:ext cx="1866900" cy="8096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itchFamily="7" charset="0"/>
              <a:cs typeface="Arial" pitchFamily="7" charset="0"/>
            </a:rPr>
            <a:t>Planilha apenas para relatório e impressão. </a:t>
          </a:r>
          <a:r>
            <a:rPr lang="pt-BR" sz="1200" b="1" u="sng">
              <a:latin typeface="Arial" pitchFamily="7" charset="0"/>
              <a:cs typeface="Arial" pitchFamily="7" charset="0"/>
            </a:rPr>
            <a:t>NÃO</a:t>
          </a:r>
          <a:r>
            <a:rPr lang="pt-BR" sz="1200" baseline="0">
              <a:latin typeface="Arial" pitchFamily="7" charset="0"/>
              <a:cs typeface="Arial" pitchFamily="7" charset="0"/>
            </a:rPr>
            <a:t> necessita inserir informações</a:t>
          </a:r>
          <a:endParaRPr lang="pt-BR" sz="1200" baseline="0">
            <a:latin typeface="Arial" pitchFamily="7" charset="0"/>
            <a:cs typeface="Arial" pitchFamily="7" charset="0"/>
          </a:endParaRPr>
        </a:p>
        <a:p>
          <a:endParaRPr lang="pt-BR" sz="1100"/>
        </a:p>
      </xdr:txBody>
    </xdr:sp>
    <xdr:clientData/>
  </xdr:twoCellAnchor>
  <xdr:twoCellAnchor>
    <xdr:from>
      <xdr:col>16</xdr:col>
      <xdr:colOff>76199</xdr:colOff>
      <xdr:row>1</xdr:row>
      <xdr:rowOff>1057275</xdr:rowOff>
    </xdr:from>
    <xdr:to>
      <xdr:col>16</xdr:col>
      <xdr:colOff>714374</xdr:colOff>
      <xdr:row>2</xdr:row>
      <xdr:rowOff>190500</xdr:rowOff>
    </xdr:to>
    <xdr:sp>
      <xdr:nvSpPr>
        <xdr:cNvPr id="3" name="Seta para a esquerda 2"/>
        <xdr:cNvSpPr/>
      </xdr:nvSpPr>
      <xdr:spPr>
        <a:xfrm rot="16200000">
          <a:off x="12135485" y="1198880"/>
          <a:ext cx="59817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114300</xdr:colOff>
      <xdr:row>1</xdr:row>
      <xdr:rowOff>171450</xdr:rowOff>
    </xdr:from>
    <xdr:to>
      <xdr:col>18</xdr:col>
      <xdr:colOff>590550</xdr:colOff>
      <xdr:row>1</xdr:row>
      <xdr:rowOff>981075</xdr:rowOff>
    </xdr:to>
    <xdr:sp>
      <xdr:nvSpPr>
        <xdr:cNvPr id="2" name="CaixaDeTexto 1"/>
        <xdr:cNvSpPr txBox="1"/>
      </xdr:nvSpPr>
      <xdr:spPr>
        <a:xfrm>
          <a:off x="12153900" y="333375"/>
          <a:ext cx="1866900" cy="8096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itchFamily="7" charset="0"/>
              <a:cs typeface="Arial" pitchFamily="7" charset="0"/>
            </a:rPr>
            <a:t>Planilha apenas para relatório e impressão. </a:t>
          </a:r>
          <a:r>
            <a:rPr lang="pt-BR" sz="1200" b="1" u="sng">
              <a:latin typeface="Arial" pitchFamily="7" charset="0"/>
              <a:cs typeface="Arial" pitchFamily="7" charset="0"/>
            </a:rPr>
            <a:t>NÃO</a:t>
          </a:r>
          <a:r>
            <a:rPr lang="pt-BR" sz="1200" baseline="0">
              <a:latin typeface="Arial" pitchFamily="7" charset="0"/>
              <a:cs typeface="Arial" pitchFamily="7" charset="0"/>
            </a:rPr>
            <a:t> necessita inserir informações</a:t>
          </a:r>
          <a:endParaRPr lang="pt-BR" sz="1200" baseline="0">
            <a:latin typeface="Arial" pitchFamily="7" charset="0"/>
            <a:cs typeface="Arial" pitchFamily="7" charset="0"/>
          </a:endParaRPr>
        </a:p>
        <a:p>
          <a:endParaRPr lang="pt-BR" sz="1100"/>
        </a:p>
      </xdr:txBody>
    </xdr:sp>
    <xdr:clientData/>
  </xdr:twoCellAnchor>
  <xdr:twoCellAnchor>
    <xdr:from>
      <xdr:col>16</xdr:col>
      <xdr:colOff>76199</xdr:colOff>
      <xdr:row>1</xdr:row>
      <xdr:rowOff>1057275</xdr:rowOff>
    </xdr:from>
    <xdr:to>
      <xdr:col>16</xdr:col>
      <xdr:colOff>714374</xdr:colOff>
      <xdr:row>2</xdr:row>
      <xdr:rowOff>190500</xdr:rowOff>
    </xdr:to>
    <xdr:sp>
      <xdr:nvSpPr>
        <xdr:cNvPr id="3" name="Seta para a esquerda 2"/>
        <xdr:cNvSpPr/>
      </xdr:nvSpPr>
      <xdr:spPr>
        <a:xfrm rot="16200000">
          <a:off x="12135485" y="1198880"/>
          <a:ext cx="59817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123827</xdr:colOff>
      <xdr:row>2</xdr:row>
      <xdr:rowOff>28575</xdr:rowOff>
    </xdr:from>
    <xdr:to>
      <xdr:col>17</xdr:col>
      <xdr:colOff>152402</xdr:colOff>
      <xdr:row>5</xdr:row>
      <xdr:rowOff>76200</xdr:rowOff>
    </xdr:to>
    <xdr:sp>
      <xdr:nvSpPr>
        <xdr:cNvPr id="2" name="Seta para a esquerda 1"/>
        <xdr:cNvSpPr/>
      </xdr:nvSpPr>
      <xdr:spPr>
        <a:xfrm rot="16200000">
          <a:off x="8340725" y="1186180"/>
          <a:ext cx="60579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  <xdr:twoCellAnchor>
    <xdr:from>
      <xdr:col>16</xdr:col>
      <xdr:colOff>85725</xdr:colOff>
      <xdr:row>1</xdr:row>
      <xdr:rowOff>0</xdr:rowOff>
    </xdr:from>
    <xdr:to>
      <xdr:col>19</xdr:col>
      <xdr:colOff>123825</xdr:colOff>
      <xdr:row>1</xdr:row>
      <xdr:rowOff>809625</xdr:rowOff>
    </xdr:to>
    <xdr:sp>
      <xdr:nvSpPr>
        <xdr:cNvPr id="3" name="CaixaDeTexto 2"/>
        <xdr:cNvSpPr txBox="1"/>
      </xdr:nvSpPr>
      <xdr:spPr>
        <a:xfrm>
          <a:off x="8286750" y="307340"/>
          <a:ext cx="1866900" cy="8096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itchFamily="7" charset="0"/>
              <a:cs typeface="Arial" pitchFamily="7" charset="0"/>
            </a:rPr>
            <a:t>Planilha apenas para relatório e impressão. </a:t>
          </a:r>
          <a:r>
            <a:rPr lang="pt-BR" sz="1200" b="1" u="sng">
              <a:latin typeface="Arial" pitchFamily="7" charset="0"/>
              <a:cs typeface="Arial" pitchFamily="7" charset="0"/>
            </a:rPr>
            <a:t>NÃO</a:t>
          </a:r>
          <a:r>
            <a:rPr lang="pt-BR" sz="1200" baseline="0">
              <a:latin typeface="Arial" pitchFamily="7" charset="0"/>
              <a:cs typeface="Arial" pitchFamily="7" charset="0"/>
            </a:rPr>
            <a:t> necessita inserir informações</a:t>
          </a:r>
          <a:endParaRPr lang="pt-BR" sz="1200" baseline="0">
            <a:latin typeface="Arial" pitchFamily="7" charset="0"/>
            <a:cs typeface="Arial" pitchFamily="7" charset="0"/>
          </a:endParaRPr>
        </a:p>
        <a:p>
          <a:endParaRPr lang="pt-BR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123827</xdr:colOff>
      <xdr:row>2</xdr:row>
      <xdr:rowOff>28575</xdr:rowOff>
    </xdr:from>
    <xdr:to>
      <xdr:col>17</xdr:col>
      <xdr:colOff>152402</xdr:colOff>
      <xdr:row>5</xdr:row>
      <xdr:rowOff>76200</xdr:rowOff>
    </xdr:to>
    <xdr:sp>
      <xdr:nvSpPr>
        <xdr:cNvPr id="2" name="Seta para a esquerda 1"/>
        <xdr:cNvSpPr/>
      </xdr:nvSpPr>
      <xdr:spPr>
        <a:xfrm rot="16200000">
          <a:off x="8340725" y="1186180"/>
          <a:ext cx="60579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/>
        <a:p>
          <a:pPr algn="l"/>
          <a:endParaRPr lang="pt-BR" sz="1100"/>
        </a:p>
      </xdr:txBody>
    </xdr:sp>
    <xdr:clientData/>
  </xdr:twoCellAnchor>
  <xdr:twoCellAnchor>
    <xdr:from>
      <xdr:col>16</xdr:col>
      <xdr:colOff>85725</xdr:colOff>
      <xdr:row>1</xdr:row>
      <xdr:rowOff>0</xdr:rowOff>
    </xdr:from>
    <xdr:to>
      <xdr:col>19</xdr:col>
      <xdr:colOff>123825</xdr:colOff>
      <xdr:row>1</xdr:row>
      <xdr:rowOff>809625</xdr:rowOff>
    </xdr:to>
    <xdr:sp>
      <xdr:nvSpPr>
        <xdr:cNvPr id="3" name="CaixaDeTexto 2"/>
        <xdr:cNvSpPr txBox="1"/>
      </xdr:nvSpPr>
      <xdr:spPr>
        <a:xfrm>
          <a:off x="8286750" y="307340"/>
          <a:ext cx="1866900" cy="8096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>
              <a:latin typeface="Arial" pitchFamily="7" charset="0"/>
              <a:cs typeface="Arial" pitchFamily="7" charset="0"/>
            </a:rPr>
            <a:t>Planilha apenas para relatório e impressão. </a:t>
          </a:r>
          <a:r>
            <a:rPr lang="pt-BR" sz="1200" b="1" u="sng">
              <a:latin typeface="Arial" pitchFamily="7" charset="0"/>
              <a:cs typeface="Arial" pitchFamily="7" charset="0"/>
            </a:rPr>
            <a:t>NÃO</a:t>
          </a:r>
          <a:r>
            <a:rPr lang="pt-BR" sz="1200" baseline="0">
              <a:latin typeface="Arial" pitchFamily="7" charset="0"/>
              <a:cs typeface="Arial" pitchFamily="7" charset="0"/>
            </a:rPr>
            <a:t> necessita inserir informações</a:t>
          </a:r>
          <a:endParaRPr lang="pt-BR" sz="1200" baseline="0">
            <a:latin typeface="Arial" pitchFamily="7" charset="0"/>
            <a:cs typeface="Arial" pitchFamily="7" charset="0"/>
          </a:endParaRPr>
        </a:p>
        <a:p>
          <a:endParaRPr lang="pt-BR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16</xdr:col>
      <xdr:colOff>123827</xdr:colOff>
      <xdr:row>2</xdr:row>
      <xdr:rowOff>28575</xdr:rowOff>
    </xdr:from>
    <xdr:to>
      <xdr:col>17</xdr:col>
      <xdr:colOff>152402</xdr:colOff>
      <xdr:row>5</xdr:row>
      <xdr:rowOff>76200</xdr:rowOff>
    </xdr:to>
    <xdr:sp>
      <xdr:nvSpPr>
        <xdr:cNvPr id="2" name="Seta para a esquerda 1"/>
        <xdr:cNvSpPr/>
      </xdr:nvSpPr>
      <xdr:spPr>
        <a:xfrm rot="16200000">
          <a:off x="11729720" y="1576070"/>
          <a:ext cx="1066800" cy="638175"/>
        </a:xfrm>
        <a:prstGeom prst="leftArrow">
          <a:avLst/>
        </a:prstGeom>
        <a:solidFill>
          <a:srgbClr val="FF00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t" anchorCtr="0" forceAA="0" compatLnSpc="1">
          <a:noAutofit/>
        </a:bodyPr>
        <a:lstStyle>
          <a:defPPr>
            <a:defRPr lang="pt-BR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pt-BR" altLang="en-US" sz="1100"/>
        </a:p>
      </xdr:txBody>
    </xdr:sp>
    <xdr:clientData/>
  </xdr:twoCellAnchor>
  <xdr:twoCellAnchor>
    <xdr:from>
      <xdr:col>16</xdr:col>
      <xdr:colOff>85725</xdr:colOff>
      <xdr:row>1</xdr:row>
      <xdr:rowOff>0</xdr:rowOff>
    </xdr:from>
    <xdr:to>
      <xdr:col>19</xdr:col>
      <xdr:colOff>123825</xdr:colOff>
      <xdr:row>1</xdr:row>
      <xdr:rowOff>809625</xdr:rowOff>
    </xdr:to>
    <xdr:sp>
      <xdr:nvSpPr>
        <xdr:cNvPr id="3" name="CaixaDeTexto 2"/>
        <xdr:cNvSpPr txBox="1"/>
      </xdr:nvSpPr>
      <xdr:spPr>
        <a:xfrm>
          <a:off x="11906250" y="295275"/>
          <a:ext cx="1866900" cy="809625"/>
        </a:xfrm>
        <a:prstGeom prst="rect">
          <a:avLst/>
        </a:prstGeom>
        <a:noFill/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pt-BR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pt-BR" sz="1200">
              <a:latin typeface="Arial" pitchFamily="7" charset="0"/>
              <a:cs typeface="Arial" pitchFamily="7" charset="0"/>
            </a:rPr>
            <a:t>Planilha apenas para relatório e impressão. </a:t>
          </a:r>
          <a:r>
            <a:rPr lang="pt-BR" sz="1200" b="1" u="sng">
              <a:latin typeface="Arial" pitchFamily="7" charset="0"/>
              <a:cs typeface="Arial" pitchFamily="7" charset="0"/>
            </a:rPr>
            <a:t>NÃO</a:t>
          </a:r>
          <a:r>
            <a:rPr lang="pt-BR" sz="1200" baseline="0">
              <a:latin typeface="Arial" pitchFamily="7" charset="0"/>
              <a:cs typeface="Arial" pitchFamily="7" charset="0"/>
            </a:rPr>
            <a:t> necessita inserir informações</a:t>
          </a:r>
          <a:endParaRPr lang="pt-BR" sz="1200" baseline="0">
            <a:latin typeface="Arial" pitchFamily="7" charset="0"/>
            <a:cs typeface="Arial" pitchFamily="7" charset="0"/>
          </a:endParaRPr>
        </a:p>
        <a:p>
          <a:endParaRPr lang="pt-BR" alt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201083</xdr:colOff>
      <xdr:row>26</xdr:row>
      <xdr:rowOff>158751</xdr:rowOff>
    </xdr:from>
    <xdr:to>
      <xdr:col>6</xdr:col>
      <xdr:colOff>1587500</xdr:colOff>
      <xdr:row>37</xdr:row>
      <xdr:rowOff>105835</xdr:rowOff>
    </xdr:to>
    <xdr:sp>
      <xdr:nvSpPr>
        <xdr:cNvPr id="4" name="Colchete duplo 3"/>
        <xdr:cNvSpPr/>
      </xdr:nvSpPr>
      <xdr:spPr>
        <a:xfrm>
          <a:off x="5134610" y="7854950"/>
          <a:ext cx="2910840" cy="2042160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oneCell">
    <xdr:from>
      <xdr:col>2</xdr:col>
      <xdr:colOff>862965</xdr:colOff>
      <xdr:row>1</xdr:row>
      <xdr:rowOff>97790</xdr:rowOff>
    </xdr:from>
    <xdr:to>
      <xdr:col>2</xdr:col>
      <xdr:colOff>2384425</xdr:colOff>
      <xdr:row>4</xdr:row>
      <xdr:rowOff>208068</xdr:rowOff>
    </xdr:to>
    <xdr:pic>
      <xdr:nvPicPr>
        <xdr:cNvPr id="5" name="Imagem 4" descr="logo_reitoria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86815" y="259715"/>
          <a:ext cx="1521460" cy="7956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emir/AppData/Local/Temp/7zO44B5D6F0/S&#227;o%20Vicente%20do%20Su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BA DE CARREGAMENTO"/>
      <sheetName val="INSUMOS"/>
      <sheetName val="Área SVS"/>
      <sheetName val="Cálculo mão obra limpeza geral"/>
      <sheetName val="Cálc. mão obra banheiros"/>
      <sheetName val="Cálc. mão obra esqu. e fachadas"/>
      <sheetName val="Planilha área geral"/>
      <sheetName val="Planilha área Banheiros"/>
      <sheetName val="Pl. Área Esquadrias e Fachadas"/>
      <sheetName val="Planilha PrepostoEncarregado"/>
      <sheetName val="Resumo da Proposta"/>
      <sheetName val="Planilha12"/>
    </sheetNames>
    <sheetDataSet>
      <sheetData sheetId="0">
        <row r="49">
          <cell r="B49">
            <v>0.03</v>
          </cell>
        </row>
        <row r="52">
          <cell r="B52">
            <v>2</v>
          </cell>
        </row>
        <row r="71">
          <cell r="B71">
            <v>2</v>
          </cell>
        </row>
        <row r="78">
          <cell r="B78" t="str">
            <v>01 Janeiro de 2019</v>
          </cell>
        </row>
        <row r="80">
          <cell r="B80">
            <v>15.02</v>
          </cell>
        </row>
      </sheetData>
      <sheetData sheetId="1"/>
      <sheetData sheetId="2"/>
      <sheetData sheetId="3"/>
      <sheetData sheetId="4">
        <row r="2">
          <cell r="C2">
            <v>300</v>
          </cell>
        </row>
        <row r="6">
          <cell r="L6">
            <v>4.50970555555556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2:H102"/>
  <sheetViews>
    <sheetView showGridLines="0" tabSelected="1" topLeftCell="A63" workbookViewId="0">
      <selection activeCell="A78" sqref="A78"/>
    </sheetView>
  </sheetViews>
  <sheetFormatPr defaultColWidth="9.14285714285714" defaultRowHeight="12.75" outlineLevelCol="7"/>
  <cols>
    <col min="1" max="1" width="33.4285714285714" style="505" customWidth="1"/>
    <col min="2" max="2" width="15.7142857142857" style="505" customWidth="1"/>
    <col min="3" max="3" width="25.5714285714286" style="505" customWidth="1"/>
    <col min="4" max="5" width="18.7142857142857" style="505" customWidth="1"/>
    <col min="6" max="258" width="9.14285714285714" style="505"/>
    <col min="259" max="259" width="24.4285714285714" style="505" customWidth="1"/>
    <col min="260" max="260" width="81" style="505" customWidth="1"/>
    <col min="261" max="261" width="20.8571428571429" style="505" customWidth="1"/>
    <col min="262" max="514" width="9.14285714285714" style="505"/>
    <col min="515" max="515" width="24.4285714285714" style="505" customWidth="1"/>
    <col min="516" max="516" width="81" style="505" customWidth="1"/>
    <col min="517" max="517" width="20.8571428571429" style="505" customWidth="1"/>
    <col min="518" max="770" width="9.14285714285714" style="505"/>
    <col min="771" max="771" width="24.4285714285714" style="505" customWidth="1"/>
    <col min="772" max="772" width="81" style="505" customWidth="1"/>
    <col min="773" max="773" width="20.8571428571429" style="505" customWidth="1"/>
    <col min="774" max="1026" width="9.14285714285714" style="505"/>
    <col min="1027" max="1027" width="24.4285714285714" style="505" customWidth="1"/>
    <col min="1028" max="1028" width="81" style="505" customWidth="1"/>
    <col min="1029" max="1029" width="20.8571428571429" style="505" customWidth="1"/>
    <col min="1030" max="1282" width="9.14285714285714" style="505"/>
    <col min="1283" max="1283" width="24.4285714285714" style="505" customWidth="1"/>
    <col min="1284" max="1284" width="81" style="505" customWidth="1"/>
    <col min="1285" max="1285" width="20.8571428571429" style="505" customWidth="1"/>
    <col min="1286" max="1538" width="9.14285714285714" style="505"/>
    <col min="1539" max="1539" width="24.4285714285714" style="505" customWidth="1"/>
    <col min="1540" max="1540" width="81" style="505" customWidth="1"/>
    <col min="1541" max="1541" width="20.8571428571429" style="505" customWidth="1"/>
    <col min="1542" max="1794" width="9.14285714285714" style="505"/>
    <col min="1795" max="1795" width="24.4285714285714" style="505" customWidth="1"/>
    <col min="1796" max="1796" width="81" style="505" customWidth="1"/>
    <col min="1797" max="1797" width="20.8571428571429" style="505" customWidth="1"/>
    <col min="1798" max="2050" width="9.14285714285714" style="505"/>
    <col min="2051" max="2051" width="24.4285714285714" style="505" customWidth="1"/>
    <col min="2052" max="2052" width="81" style="505" customWidth="1"/>
    <col min="2053" max="2053" width="20.8571428571429" style="505" customWidth="1"/>
    <col min="2054" max="2306" width="9.14285714285714" style="505"/>
    <col min="2307" max="2307" width="24.4285714285714" style="505" customWidth="1"/>
    <col min="2308" max="2308" width="81" style="505" customWidth="1"/>
    <col min="2309" max="2309" width="20.8571428571429" style="505" customWidth="1"/>
    <col min="2310" max="2562" width="9.14285714285714" style="505"/>
    <col min="2563" max="2563" width="24.4285714285714" style="505" customWidth="1"/>
    <col min="2564" max="2564" width="81" style="505" customWidth="1"/>
    <col min="2565" max="2565" width="20.8571428571429" style="505" customWidth="1"/>
    <col min="2566" max="2818" width="9.14285714285714" style="505"/>
    <col min="2819" max="2819" width="24.4285714285714" style="505" customWidth="1"/>
    <col min="2820" max="2820" width="81" style="505" customWidth="1"/>
    <col min="2821" max="2821" width="20.8571428571429" style="505" customWidth="1"/>
    <col min="2822" max="3074" width="9.14285714285714" style="505"/>
    <col min="3075" max="3075" width="24.4285714285714" style="505" customWidth="1"/>
    <col min="3076" max="3076" width="81" style="505" customWidth="1"/>
    <col min="3077" max="3077" width="20.8571428571429" style="505" customWidth="1"/>
    <col min="3078" max="3330" width="9.14285714285714" style="505"/>
    <col min="3331" max="3331" width="24.4285714285714" style="505" customWidth="1"/>
    <col min="3332" max="3332" width="81" style="505" customWidth="1"/>
    <col min="3333" max="3333" width="20.8571428571429" style="505" customWidth="1"/>
    <col min="3334" max="3586" width="9.14285714285714" style="505"/>
    <col min="3587" max="3587" width="24.4285714285714" style="505" customWidth="1"/>
    <col min="3588" max="3588" width="81" style="505" customWidth="1"/>
    <col min="3589" max="3589" width="20.8571428571429" style="505" customWidth="1"/>
    <col min="3590" max="3842" width="9.14285714285714" style="505"/>
    <col min="3843" max="3843" width="24.4285714285714" style="505" customWidth="1"/>
    <col min="3844" max="3844" width="81" style="505" customWidth="1"/>
    <col min="3845" max="3845" width="20.8571428571429" style="505" customWidth="1"/>
    <col min="3846" max="4098" width="9.14285714285714" style="505"/>
    <col min="4099" max="4099" width="24.4285714285714" style="505" customWidth="1"/>
    <col min="4100" max="4100" width="81" style="505" customWidth="1"/>
    <col min="4101" max="4101" width="20.8571428571429" style="505" customWidth="1"/>
    <col min="4102" max="4354" width="9.14285714285714" style="505"/>
    <col min="4355" max="4355" width="24.4285714285714" style="505" customWidth="1"/>
    <col min="4356" max="4356" width="81" style="505" customWidth="1"/>
    <col min="4357" max="4357" width="20.8571428571429" style="505" customWidth="1"/>
    <col min="4358" max="4610" width="9.14285714285714" style="505"/>
    <col min="4611" max="4611" width="24.4285714285714" style="505" customWidth="1"/>
    <col min="4612" max="4612" width="81" style="505" customWidth="1"/>
    <col min="4613" max="4613" width="20.8571428571429" style="505" customWidth="1"/>
    <col min="4614" max="4866" width="9.14285714285714" style="505"/>
    <col min="4867" max="4867" width="24.4285714285714" style="505" customWidth="1"/>
    <col min="4868" max="4868" width="81" style="505" customWidth="1"/>
    <col min="4869" max="4869" width="20.8571428571429" style="505" customWidth="1"/>
    <col min="4870" max="5122" width="9.14285714285714" style="505"/>
    <col min="5123" max="5123" width="24.4285714285714" style="505" customWidth="1"/>
    <col min="5124" max="5124" width="81" style="505" customWidth="1"/>
    <col min="5125" max="5125" width="20.8571428571429" style="505" customWidth="1"/>
    <col min="5126" max="5378" width="9.14285714285714" style="505"/>
    <col min="5379" max="5379" width="24.4285714285714" style="505" customWidth="1"/>
    <col min="5380" max="5380" width="81" style="505" customWidth="1"/>
    <col min="5381" max="5381" width="20.8571428571429" style="505" customWidth="1"/>
    <col min="5382" max="5634" width="9.14285714285714" style="505"/>
    <col min="5635" max="5635" width="24.4285714285714" style="505" customWidth="1"/>
    <col min="5636" max="5636" width="81" style="505" customWidth="1"/>
    <col min="5637" max="5637" width="20.8571428571429" style="505" customWidth="1"/>
    <col min="5638" max="5890" width="9.14285714285714" style="505"/>
    <col min="5891" max="5891" width="24.4285714285714" style="505" customWidth="1"/>
    <col min="5892" max="5892" width="81" style="505" customWidth="1"/>
    <col min="5893" max="5893" width="20.8571428571429" style="505" customWidth="1"/>
    <col min="5894" max="6146" width="9.14285714285714" style="505"/>
    <col min="6147" max="6147" width="24.4285714285714" style="505" customWidth="1"/>
    <col min="6148" max="6148" width="81" style="505" customWidth="1"/>
    <col min="6149" max="6149" width="20.8571428571429" style="505" customWidth="1"/>
    <col min="6150" max="6402" width="9.14285714285714" style="505"/>
    <col min="6403" max="6403" width="24.4285714285714" style="505" customWidth="1"/>
    <col min="6404" max="6404" width="81" style="505" customWidth="1"/>
    <col min="6405" max="6405" width="20.8571428571429" style="505" customWidth="1"/>
    <col min="6406" max="6658" width="9.14285714285714" style="505"/>
    <col min="6659" max="6659" width="24.4285714285714" style="505" customWidth="1"/>
    <col min="6660" max="6660" width="81" style="505" customWidth="1"/>
    <col min="6661" max="6661" width="20.8571428571429" style="505" customWidth="1"/>
    <col min="6662" max="6914" width="9.14285714285714" style="505"/>
    <col min="6915" max="6915" width="24.4285714285714" style="505" customWidth="1"/>
    <col min="6916" max="6916" width="81" style="505" customWidth="1"/>
    <col min="6917" max="6917" width="20.8571428571429" style="505" customWidth="1"/>
    <col min="6918" max="7170" width="9.14285714285714" style="505"/>
    <col min="7171" max="7171" width="24.4285714285714" style="505" customWidth="1"/>
    <col min="7172" max="7172" width="81" style="505" customWidth="1"/>
    <col min="7173" max="7173" width="20.8571428571429" style="505" customWidth="1"/>
    <col min="7174" max="7426" width="9.14285714285714" style="505"/>
    <col min="7427" max="7427" width="24.4285714285714" style="505" customWidth="1"/>
    <col min="7428" max="7428" width="81" style="505" customWidth="1"/>
    <col min="7429" max="7429" width="20.8571428571429" style="505" customWidth="1"/>
    <col min="7430" max="7682" width="9.14285714285714" style="505"/>
    <col min="7683" max="7683" width="24.4285714285714" style="505" customWidth="1"/>
    <col min="7684" max="7684" width="81" style="505" customWidth="1"/>
    <col min="7685" max="7685" width="20.8571428571429" style="505" customWidth="1"/>
    <col min="7686" max="7938" width="9.14285714285714" style="505"/>
    <col min="7939" max="7939" width="24.4285714285714" style="505" customWidth="1"/>
    <col min="7940" max="7940" width="81" style="505" customWidth="1"/>
    <col min="7941" max="7941" width="20.8571428571429" style="505" customWidth="1"/>
    <col min="7942" max="8194" width="9.14285714285714" style="505"/>
    <col min="8195" max="8195" width="24.4285714285714" style="505" customWidth="1"/>
    <col min="8196" max="8196" width="81" style="505" customWidth="1"/>
    <col min="8197" max="8197" width="20.8571428571429" style="505" customWidth="1"/>
    <col min="8198" max="8450" width="9.14285714285714" style="505"/>
    <col min="8451" max="8451" width="24.4285714285714" style="505" customWidth="1"/>
    <col min="8452" max="8452" width="81" style="505" customWidth="1"/>
    <col min="8453" max="8453" width="20.8571428571429" style="505" customWidth="1"/>
    <col min="8454" max="8706" width="9.14285714285714" style="505"/>
    <col min="8707" max="8707" width="24.4285714285714" style="505" customWidth="1"/>
    <col min="8708" max="8708" width="81" style="505" customWidth="1"/>
    <col min="8709" max="8709" width="20.8571428571429" style="505" customWidth="1"/>
    <col min="8710" max="8962" width="9.14285714285714" style="505"/>
    <col min="8963" max="8963" width="24.4285714285714" style="505" customWidth="1"/>
    <col min="8964" max="8964" width="81" style="505" customWidth="1"/>
    <col min="8965" max="8965" width="20.8571428571429" style="505" customWidth="1"/>
    <col min="8966" max="9218" width="9.14285714285714" style="505"/>
    <col min="9219" max="9219" width="24.4285714285714" style="505" customWidth="1"/>
    <col min="9220" max="9220" width="81" style="505" customWidth="1"/>
    <col min="9221" max="9221" width="20.8571428571429" style="505" customWidth="1"/>
    <col min="9222" max="9474" width="9.14285714285714" style="505"/>
    <col min="9475" max="9475" width="24.4285714285714" style="505" customWidth="1"/>
    <col min="9476" max="9476" width="81" style="505" customWidth="1"/>
    <col min="9477" max="9477" width="20.8571428571429" style="505" customWidth="1"/>
    <col min="9478" max="9730" width="9.14285714285714" style="505"/>
    <col min="9731" max="9731" width="24.4285714285714" style="505" customWidth="1"/>
    <col min="9732" max="9732" width="81" style="505" customWidth="1"/>
    <col min="9733" max="9733" width="20.8571428571429" style="505" customWidth="1"/>
    <col min="9734" max="9986" width="9.14285714285714" style="505"/>
    <col min="9987" max="9987" width="24.4285714285714" style="505" customWidth="1"/>
    <col min="9988" max="9988" width="81" style="505" customWidth="1"/>
    <col min="9989" max="9989" width="20.8571428571429" style="505" customWidth="1"/>
    <col min="9990" max="10242" width="9.14285714285714" style="505"/>
    <col min="10243" max="10243" width="24.4285714285714" style="505" customWidth="1"/>
    <col min="10244" max="10244" width="81" style="505" customWidth="1"/>
    <col min="10245" max="10245" width="20.8571428571429" style="505" customWidth="1"/>
    <col min="10246" max="10498" width="9.14285714285714" style="505"/>
    <col min="10499" max="10499" width="24.4285714285714" style="505" customWidth="1"/>
    <col min="10500" max="10500" width="81" style="505" customWidth="1"/>
    <col min="10501" max="10501" width="20.8571428571429" style="505" customWidth="1"/>
    <col min="10502" max="10754" width="9.14285714285714" style="505"/>
    <col min="10755" max="10755" width="24.4285714285714" style="505" customWidth="1"/>
    <col min="10756" max="10756" width="81" style="505" customWidth="1"/>
    <col min="10757" max="10757" width="20.8571428571429" style="505" customWidth="1"/>
    <col min="10758" max="11010" width="9.14285714285714" style="505"/>
    <col min="11011" max="11011" width="24.4285714285714" style="505" customWidth="1"/>
    <col min="11012" max="11012" width="81" style="505" customWidth="1"/>
    <col min="11013" max="11013" width="20.8571428571429" style="505" customWidth="1"/>
    <col min="11014" max="11266" width="9.14285714285714" style="505"/>
    <col min="11267" max="11267" width="24.4285714285714" style="505" customWidth="1"/>
    <col min="11268" max="11268" width="81" style="505" customWidth="1"/>
    <col min="11269" max="11269" width="20.8571428571429" style="505" customWidth="1"/>
    <col min="11270" max="11522" width="9.14285714285714" style="505"/>
    <col min="11523" max="11523" width="24.4285714285714" style="505" customWidth="1"/>
    <col min="11524" max="11524" width="81" style="505" customWidth="1"/>
    <col min="11525" max="11525" width="20.8571428571429" style="505" customWidth="1"/>
    <col min="11526" max="11778" width="9.14285714285714" style="505"/>
    <col min="11779" max="11779" width="24.4285714285714" style="505" customWidth="1"/>
    <col min="11780" max="11780" width="81" style="505" customWidth="1"/>
    <col min="11781" max="11781" width="20.8571428571429" style="505" customWidth="1"/>
    <col min="11782" max="12034" width="9.14285714285714" style="505"/>
    <col min="12035" max="12035" width="24.4285714285714" style="505" customWidth="1"/>
    <col min="12036" max="12036" width="81" style="505" customWidth="1"/>
    <col min="12037" max="12037" width="20.8571428571429" style="505" customWidth="1"/>
    <col min="12038" max="12290" width="9.14285714285714" style="505"/>
    <col min="12291" max="12291" width="24.4285714285714" style="505" customWidth="1"/>
    <col min="12292" max="12292" width="81" style="505" customWidth="1"/>
    <col min="12293" max="12293" width="20.8571428571429" style="505" customWidth="1"/>
    <col min="12294" max="12546" width="9.14285714285714" style="505"/>
    <col min="12547" max="12547" width="24.4285714285714" style="505" customWidth="1"/>
    <col min="12548" max="12548" width="81" style="505" customWidth="1"/>
    <col min="12549" max="12549" width="20.8571428571429" style="505" customWidth="1"/>
    <col min="12550" max="12802" width="9.14285714285714" style="505"/>
    <col min="12803" max="12803" width="24.4285714285714" style="505" customWidth="1"/>
    <col min="12804" max="12804" width="81" style="505" customWidth="1"/>
    <col min="12805" max="12805" width="20.8571428571429" style="505" customWidth="1"/>
    <col min="12806" max="13058" width="9.14285714285714" style="505"/>
    <col min="13059" max="13059" width="24.4285714285714" style="505" customWidth="1"/>
    <col min="13060" max="13060" width="81" style="505" customWidth="1"/>
    <col min="13061" max="13061" width="20.8571428571429" style="505" customWidth="1"/>
    <col min="13062" max="13314" width="9.14285714285714" style="505"/>
    <col min="13315" max="13315" width="24.4285714285714" style="505" customWidth="1"/>
    <col min="13316" max="13316" width="81" style="505" customWidth="1"/>
    <col min="13317" max="13317" width="20.8571428571429" style="505" customWidth="1"/>
    <col min="13318" max="13570" width="9.14285714285714" style="505"/>
    <col min="13571" max="13571" width="24.4285714285714" style="505" customWidth="1"/>
    <col min="13572" max="13572" width="81" style="505" customWidth="1"/>
    <col min="13573" max="13573" width="20.8571428571429" style="505" customWidth="1"/>
    <col min="13574" max="13826" width="9.14285714285714" style="505"/>
    <col min="13827" max="13827" width="24.4285714285714" style="505" customWidth="1"/>
    <col min="13828" max="13828" width="81" style="505" customWidth="1"/>
    <col min="13829" max="13829" width="20.8571428571429" style="505" customWidth="1"/>
    <col min="13830" max="14082" width="9.14285714285714" style="505"/>
    <col min="14083" max="14083" width="24.4285714285714" style="505" customWidth="1"/>
    <col min="14084" max="14084" width="81" style="505" customWidth="1"/>
    <col min="14085" max="14085" width="20.8571428571429" style="505" customWidth="1"/>
    <col min="14086" max="14338" width="9.14285714285714" style="505"/>
    <col min="14339" max="14339" width="24.4285714285714" style="505" customWidth="1"/>
    <col min="14340" max="14340" width="81" style="505" customWidth="1"/>
    <col min="14341" max="14341" width="20.8571428571429" style="505" customWidth="1"/>
    <col min="14342" max="14594" width="9.14285714285714" style="505"/>
    <col min="14595" max="14595" width="24.4285714285714" style="505" customWidth="1"/>
    <col min="14596" max="14596" width="81" style="505" customWidth="1"/>
    <col min="14597" max="14597" width="20.8571428571429" style="505" customWidth="1"/>
    <col min="14598" max="14850" width="9.14285714285714" style="505"/>
    <col min="14851" max="14851" width="24.4285714285714" style="505" customWidth="1"/>
    <col min="14852" max="14852" width="81" style="505" customWidth="1"/>
    <col min="14853" max="14853" width="20.8571428571429" style="505" customWidth="1"/>
    <col min="14854" max="15106" width="9.14285714285714" style="505"/>
    <col min="15107" max="15107" width="24.4285714285714" style="505" customWidth="1"/>
    <col min="15108" max="15108" width="81" style="505" customWidth="1"/>
    <col min="15109" max="15109" width="20.8571428571429" style="505" customWidth="1"/>
    <col min="15110" max="15362" width="9.14285714285714" style="505"/>
    <col min="15363" max="15363" width="24.4285714285714" style="505" customWidth="1"/>
    <col min="15364" max="15364" width="81" style="505" customWidth="1"/>
    <col min="15365" max="15365" width="20.8571428571429" style="505" customWidth="1"/>
    <col min="15366" max="15618" width="9.14285714285714" style="505"/>
    <col min="15619" max="15619" width="24.4285714285714" style="505" customWidth="1"/>
    <col min="15620" max="15620" width="81" style="505" customWidth="1"/>
    <col min="15621" max="15621" width="20.8571428571429" style="505" customWidth="1"/>
    <col min="15622" max="15874" width="9.14285714285714" style="505"/>
    <col min="15875" max="15875" width="24.4285714285714" style="505" customWidth="1"/>
    <col min="15876" max="15876" width="81" style="505" customWidth="1"/>
    <col min="15877" max="15877" width="20.8571428571429" style="505" customWidth="1"/>
    <col min="15878" max="16130" width="9.14285714285714" style="505"/>
    <col min="16131" max="16131" width="24.4285714285714" style="505" customWidth="1"/>
    <col min="16132" max="16132" width="81" style="505" customWidth="1"/>
    <col min="16133" max="16133" width="20.8571428571429" style="505" customWidth="1"/>
    <col min="16134" max="16384" width="9.14285714285714" style="505"/>
  </cols>
  <sheetData>
    <row r="2" spans="1:4">
      <c r="A2" s="506"/>
      <c r="B2" s="4" t="s">
        <v>0</v>
      </c>
      <c r="C2" s="4"/>
      <c r="D2" s="4"/>
    </row>
    <row r="3" spans="1:4">
      <c r="A3" s="506"/>
      <c r="B3" s="4" t="s">
        <v>1</v>
      </c>
      <c r="C3" s="4"/>
      <c r="D3" s="4"/>
    </row>
    <row r="4" spans="1:4">
      <c r="A4" s="506"/>
      <c r="B4" s="4" t="s">
        <v>2</v>
      </c>
      <c r="C4" s="4"/>
      <c r="D4" s="4"/>
    </row>
    <row r="5" spans="1:4">
      <c r="A5" s="506"/>
      <c r="B5" s="507" t="s">
        <v>3</v>
      </c>
      <c r="C5" s="508"/>
      <c r="D5" s="508"/>
    </row>
    <row r="6" spans="1:4">
      <c r="A6" s="506"/>
      <c r="B6" s="509"/>
      <c r="C6" s="509"/>
      <c r="D6" s="509"/>
    </row>
    <row r="7" spans="1:4">
      <c r="A7" s="506"/>
      <c r="B7" s="509"/>
      <c r="C7" s="509"/>
      <c r="D7" s="509"/>
    </row>
    <row r="8" spans="1:5">
      <c r="A8" s="510" t="s">
        <v>4</v>
      </c>
      <c r="B8" s="510"/>
      <c r="C8" s="510"/>
      <c r="D8" s="510"/>
      <c r="E8" s="510"/>
    </row>
    <row r="9" ht="15" spans="1:8">
      <c r="A9" s="506"/>
      <c r="B9" s="506"/>
      <c r="C9" s="506"/>
      <c r="D9" s="506"/>
      <c r="H9" s="511"/>
    </row>
    <row r="10" customHeight="1" spans="1:5">
      <c r="A10" s="512" t="s">
        <v>5</v>
      </c>
      <c r="B10" s="513" t="s">
        <v>6</v>
      </c>
      <c r="C10" s="514"/>
      <c r="D10" s="514"/>
      <c r="E10" s="515"/>
    </row>
    <row r="11" spans="1:5">
      <c r="A11" s="516" t="s">
        <v>7</v>
      </c>
      <c r="B11" s="517"/>
      <c r="C11" s="518"/>
      <c r="D11" s="518"/>
      <c r="E11" s="519"/>
    </row>
    <row r="12" spans="1:5">
      <c r="A12" s="520" t="s">
        <v>8</v>
      </c>
      <c r="B12" s="521"/>
      <c r="C12" s="522"/>
      <c r="D12" s="522"/>
      <c r="E12" s="523"/>
    </row>
    <row r="13" spans="1:5">
      <c r="A13" s="520" t="s">
        <v>9</v>
      </c>
      <c r="B13" s="524" t="s">
        <v>10</v>
      </c>
      <c r="C13" s="525"/>
      <c r="D13" s="525"/>
      <c r="E13" s="526"/>
    </row>
    <row r="14" spans="1:5">
      <c r="A14" s="520" t="s">
        <v>11</v>
      </c>
      <c r="B14" s="527"/>
      <c r="C14" s="528"/>
      <c r="D14" s="528"/>
      <c r="E14" s="529"/>
    </row>
    <row r="15" spans="1:5">
      <c r="A15" s="520" t="s">
        <v>12</v>
      </c>
      <c r="B15" s="530"/>
      <c r="C15" s="531"/>
      <c r="D15" s="531"/>
      <c r="E15" s="532"/>
    </row>
    <row r="16" spans="1:5">
      <c r="A16" s="520" t="s">
        <v>13</v>
      </c>
      <c r="B16" s="530"/>
      <c r="C16" s="531"/>
      <c r="D16" s="531"/>
      <c r="E16" s="532"/>
    </row>
    <row r="17" spans="1:5">
      <c r="A17" s="520" t="s">
        <v>14</v>
      </c>
      <c r="B17" s="530"/>
      <c r="C17" s="531"/>
      <c r="D17" s="531"/>
      <c r="E17" s="532"/>
    </row>
    <row r="18" spans="1:5">
      <c r="A18" s="520" t="s">
        <v>15</v>
      </c>
      <c r="B18" s="530"/>
      <c r="C18" s="531"/>
      <c r="D18" s="531"/>
      <c r="E18" s="532"/>
    </row>
    <row r="19" spans="1:5">
      <c r="A19" s="520" t="s">
        <v>16</v>
      </c>
      <c r="B19" s="530"/>
      <c r="C19" s="531"/>
      <c r="D19" s="531"/>
      <c r="E19" s="532"/>
    </row>
    <row r="20" spans="1:4">
      <c r="A20" s="533"/>
      <c r="B20" s="533"/>
      <c r="C20" s="533"/>
      <c r="D20" s="533"/>
    </row>
    <row r="21" spans="1:5">
      <c r="A21" s="510" t="s">
        <v>17</v>
      </c>
      <c r="B21" s="510"/>
      <c r="C21" s="510"/>
      <c r="D21" s="510"/>
      <c r="E21" s="510"/>
    </row>
    <row r="22" spans="1:5">
      <c r="A22" s="534"/>
      <c r="B22" s="534"/>
      <c r="C22" s="534"/>
      <c r="D22" s="534"/>
      <c r="E22" s="534"/>
    </row>
    <row r="23" customHeight="1" spans="1:5">
      <c r="A23" s="535" t="s">
        <v>18</v>
      </c>
      <c r="B23" s="536"/>
      <c r="C23" s="536"/>
      <c r="D23" s="536"/>
      <c r="E23" s="537"/>
    </row>
    <row r="24" ht="39" customHeight="1" spans="1:5">
      <c r="A24" s="538" t="s">
        <v>19</v>
      </c>
      <c r="B24" s="539" t="s">
        <v>20</v>
      </c>
      <c r="C24" s="540"/>
      <c r="D24" s="541" t="s">
        <v>21</v>
      </c>
      <c r="E24" s="541" t="s">
        <v>22</v>
      </c>
    </row>
    <row r="25" spans="1:5">
      <c r="A25" s="542" t="s">
        <v>23</v>
      </c>
      <c r="B25" s="543" t="s">
        <v>24</v>
      </c>
      <c r="C25" s="544"/>
      <c r="D25" s="545">
        <v>1200</v>
      </c>
      <c r="E25" s="546">
        <v>1033.84</v>
      </c>
    </row>
    <row r="26" spans="1:6">
      <c r="A26" s="547"/>
      <c r="B26" s="543" t="s">
        <v>25</v>
      </c>
      <c r="C26" s="544"/>
      <c r="D26" s="545">
        <v>3600</v>
      </c>
      <c r="E26" s="546">
        <v>9507.89</v>
      </c>
      <c r="F26" s="505" t="s">
        <v>26</v>
      </c>
    </row>
    <row r="27" spans="1:5">
      <c r="A27" s="547"/>
      <c r="B27" s="543" t="s">
        <v>27</v>
      </c>
      <c r="C27" s="544"/>
      <c r="D27" s="545">
        <v>600</v>
      </c>
      <c r="E27" s="546">
        <v>2609.18</v>
      </c>
    </row>
    <row r="28" customHeight="1" spans="1:6">
      <c r="A28" s="547"/>
      <c r="B28" s="548" t="s">
        <v>28</v>
      </c>
      <c r="C28" s="549"/>
      <c r="D28" s="545">
        <v>1950</v>
      </c>
      <c r="E28" s="546">
        <v>4812.8</v>
      </c>
      <c r="F28" s="505" t="s">
        <v>26</v>
      </c>
    </row>
    <row r="29" spans="1:5">
      <c r="A29" s="547"/>
      <c r="B29" s="543" t="s">
        <v>29</v>
      </c>
      <c r="C29" s="544"/>
      <c r="D29" s="545">
        <v>0</v>
      </c>
      <c r="E29" s="546">
        <v>0</v>
      </c>
    </row>
    <row r="30" customHeight="1" spans="1:6">
      <c r="A30" s="547"/>
      <c r="B30" s="548" t="s">
        <v>30</v>
      </c>
      <c r="C30" s="549"/>
      <c r="D30" s="545">
        <v>3000</v>
      </c>
      <c r="E30" s="546">
        <v>909.25</v>
      </c>
      <c r="F30" s="505" t="s">
        <v>26</v>
      </c>
    </row>
    <row r="31" ht="25.5" customHeight="1" spans="1:5">
      <c r="A31" s="542" t="s">
        <v>31</v>
      </c>
      <c r="B31" s="548" t="s">
        <v>32</v>
      </c>
      <c r="C31" s="549"/>
      <c r="D31" s="545">
        <v>2700</v>
      </c>
      <c r="E31" s="546">
        <v>741.56</v>
      </c>
    </row>
    <row r="32" customHeight="1" spans="1:5">
      <c r="A32" s="547"/>
      <c r="B32" s="548" t="s">
        <v>33</v>
      </c>
      <c r="C32" s="549"/>
      <c r="D32" s="545">
        <v>9000</v>
      </c>
      <c r="E32" s="546">
        <v>0</v>
      </c>
    </row>
    <row r="33" customHeight="1" spans="1:5">
      <c r="A33" s="547"/>
      <c r="B33" s="548" t="s">
        <v>34</v>
      </c>
      <c r="C33" s="549"/>
      <c r="D33" s="545">
        <v>2700</v>
      </c>
      <c r="E33" s="546">
        <v>0</v>
      </c>
    </row>
    <row r="34" customHeight="1" spans="1:5">
      <c r="A34" s="547"/>
      <c r="B34" s="548" t="s">
        <v>35</v>
      </c>
      <c r="C34" s="549"/>
      <c r="D34" s="545">
        <v>2700</v>
      </c>
      <c r="E34" s="546">
        <v>0</v>
      </c>
    </row>
    <row r="35" customHeight="1" spans="1:6">
      <c r="A35" s="547"/>
      <c r="B35" s="548" t="s">
        <v>36</v>
      </c>
      <c r="C35" s="549"/>
      <c r="D35" s="545">
        <v>3000</v>
      </c>
      <c r="E35" s="546">
        <v>494.55</v>
      </c>
      <c r="F35" s="505" t="s">
        <v>26</v>
      </c>
    </row>
    <row r="36" ht="25.5" customHeight="1" spans="1:5">
      <c r="A36" s="547"/>
      <c r="B36" s="548" t="s">
        <v>37</v>
      </c>
      <c r="C36" s="549"/>
      <c r="D36" s="545">
        <v>100000</v>
      </c>
      <c r="E36" s="546">
        <v>0</v>
      </c>
    </row>
    <row r="37" customHeight="1" spans="1:5">
      <c r="A37" s="550" t="s">
        <v>38</v>
      </c>
      <c r="B37" s="548" t="s">
        <v>39</v>
      </c>
      <c r="C37" s="549"/>
      <c r="D37" s="545">
        <v>160</v>
      </c>
      <c r="E37" s="546">
        <v>735.34</v>
      </c>
    </row>
    <row r="38" customHeight="1" spans="1:6">
      <c r="A38" s="550"/>
      <c r="B38" s="548" t="s">
        <v>40</v>
      </c>
      <c r="C38" s="549"/>
      <c r="D38" s="545">
        <v>500</v>
      </c>
      <c r="E38" s="546">
        <v>760.32</v>
      </c>
      <c r="F38" s="505" t="s">
        <v>26</v>
      </c>
    </row>
    <row r="39" customHeight="1" spans="1:6">
      <c r="A39" s="550"/>
      <c r="B39" s="548" t="s">
        <v>41</v>
      </c>
      <c r="C39" s="549"/>
      <c r="D39" s="545">
        <v>500</v>
      </c>
      <c r="E39" s="546">
        <v>1863.68</v>
      </c>
      <c r="F39" s="505" t="s">
        <v>26</v>
      </c>
    </row>
    <row r="40" customHeight="1" spans="1:5">
      <c r="A40" s="550" t="s">
        <v>42</v>
      </c>
      <c r="B40" s="548" t="s">
        <v>43</v>
      </c>
      <c r="C40" s="549"/>
      <c r="D40" s="545">
        <v>160</v>
      </c>
      <c r="E40" s="546">
        <v>428</v>
      </c>
    </row>
    <row r="41" ht="27.75" customHeight="1" spans="1:5">
      <c r="A41" s="550" t="s">
        <v>44</v>
      </c>
      <c r="B41" s="548" t="s">
        <v>45</v>
      </c>
      <c r="C41" s="549"/>
      <c r="D41" s="545">
        <v>0</v>
      </c>
      <c r="E41" s="546">
        <v>0</v>
      </c>
    </row>
    <row r="42" ht="27.75" customHeight="1" spans="1:5">
      <c r="A42" s="551"/>
      <c r="B42" s="552"/>
      <c r="C42" s="552"/>
      <c r="D42" s="553"/>
      <c r="E42" s="554">
        <f>SUM(E25:E41)</f>
        <v>23896.41</v>
      </c>
    </row>
    <row r="43" customHeight="1" spans="1:5">
      <c r="A43" s="535" t="s">
        <v>46</v>
      </c>
      <c r="B43" s="536"/>
      <c r="C43" s="536"/>
      <c r="D43" s="536"/>
      <c r="E43" s="537"/>
    </row>
    <row r="44" ht="39" customHeight="1" spans="1:5">
      <c r="A44" s="538" t="s">
        <v>19</v>
      </c>
      <c r="B44" s="539" t="s">
        <v>20</v>
      </c>
      <c r="C44" s="540"/>
      <c r="D44" s="541" t="s">
        <v>21</v>
      </c>
      <c r="E44" s="541" t="s">
        <v>22</v>
      </c>
    </row>
    <row r="45" spans="1:5">
      <c r="A45" s="542" t="s">
        <v>23</v>
      </c>
      <c r="B45" s="543" t="s">
        <v>24</v>
      </c>
      <c r="C45" s="544"/>
      <c r="D45" s="545">
        <v>0</v>
      </c>
      <c r="E45" s="546">
        <v>0</v>
      </c>
    </row>
    <row r="46" spans="1:5">
      <c r="A46" s="547"/>
      <c r="B46" s="543" t="s">
        <v>25</v>
      </c>
      <c r="C46" s="544"/>
      <c r="D46" s="545">
        <v>0</v>
      </c>
      <c r="E46" s="546">
        <v>0</v>
      </c>
    </row>
    <row r="47" spans="1:5">
      <c r="A47" s="547"/>
      <c r="B47" s="543" t="s">
        <v>27</v>
      </c>
      <c r="C47" s="544"/>
      <c r="D47" s="545">
        <v>0</v>
      </c>
      <c r="E47" s="546">
        <v>0</v>
      </c>
    </row>
    <row r="48" customHeight="1" spans="1:5">
      <c r="A48" s="547"/>
      <c r="B48" s="548" t="s">
        <v>47</v>
      </c>
      <c r="C48" s="549"/>
      <c r="D48" s="545">
        <v>0</v>
      </c>
      <c r="E48" s="546">
        <v>0</v>
      </c>
    </row>
    <row r="49" spans="1:5">
      <c r="A49" s="547"/>
      <c r="B49" s="543" t="s">
        <v>48</v>
      </c>
      <c r="C49" s="544"/>
      <c r="D49" s="545">
        <v>0</v>
      </c>
      <c r="E49" s="546">
        <v>0</v>
      </c>
    </row>
    <row r="50" customHeight="1" spans="1:5">
      <c r="A50" s="547"/>
      <c r="B50" s="548" t="s">
        <v>30</v>
      </c>
      <c r="C50" s="549"/>
      <c r="D50" s="545">
        <v>0</v>
      </c>
      <c r="E50" s="546">
        <v>0</v>
      </c>
    </row>
    <row r="51" customHeight="1" spans="1:6">
      <c r="A51" s="555"/>
      <c r="B51" s="556" t="s">
        <v>29</v>
      </c>
      <c r="C51" s="557"/>
      <c r="D51" s="545">
        <v>180</v>
      </c>
      <c r="E51" s="546">
        <v>739.35</v>
      </c>
      <c r="F51" s="505" t="s">
        <v>26</v>
      </c>
    </row>
    <row r="52" ht="25.5" customHeight="1" spans="1:5">
      <c r="A52" s="542" t="s">
        <v>31</v>
      </c>
      <c r="B52" s="548" t="s">
        <v>32</v>
      </c>
      <c r="C52" s="549"/>
      <c r="D52" s="545">
        <v>0</v>
      </c>
      <c r="E52" s="546">
        <v>0</v>
      </c>
    </row>
    <row r="53" customHeight="1" spans="1:5">
      <c r="A53" s="547"/>
      <c r="B53" s="548" t="s">
        <v>33</v>
      </c>
      <c r="C53" s="549"/>
      <c r="D53" s="545">
        <v>0</v>
      </c>
      <c r="E53" s="546">
        <v>0</v>
      </c>
    </row>
    <row r="54" customHeight="1" spans="1:5">
      <c r="A54" s="547"/>
      <c r="B54" s="548" t="s">
        <v>34</v>
      </c>
      <c r="C54" s="549"/>
      <c r="D54" s="545">
        <v>0</v>
      </c>
      <c r="E54" s="546"/>
    </row>
    <row r="55" customHeight="1" spans="1:5">
      <c r="A55" s="547"/>
      <c r="B55" s="548" t="s">
        <v>35</v>
      </c>
      <c r="C55" s="549"/>
      <c r="D55" s="545">
        <v>0</v>
      </c>
      <c r="E55" s="546"/>
    </row>
    <row r="56" customHeight="1" spans="1:5">
      <c r="A56" s="547"/>
      <c r="B56" s="548" t="s">
        <v>36</v>
      </c>
      <c r="C56" s="549"/>
      <c r="D56" s="545">
        <v>0</v>
      </c>
      <c r="E56" s="546"/>
    </row>
    <row r="57" ht="25.5" customHeight="1" spans="1:5">
      <c r="A57" s="547"/>
      <c r="B57" s="548" t="s">
        <v>37</v>
      </c>
      <c r="C57" s="549"/>
      <c r="D57" s="545">
        <v>0</v>
      </c>
      <c r="E57" s="546">
        <v>0</v>
      </c>
    </row>
    <row r="58" customHeight="1" spans="1:5">
      <c r="A58" s="550" t="s">
        <v>38</v>
      </c>
      <c r="B58" s="548" t="s">
        <v>39</v>
      </c>
      <c r="C58" s="549"/>
      <c r="D58" s="545">
        <v>0</v>
      </c>
      <c r="E58" s="546">
        <v>0</v>
      </c>
    </row>
    <row r="59" customHeight="1" spans="1:5">
      <c r="A59" s="550"/>
      <c r="B59" s="548" t="s">
        <v>40</v>
      </c>
      <c r="C59" s="549"/>
      <c r="D59" s="545">
        <v>0</v>
      </c>
      <c r="E59" s="546">
        <v>0</v>
      </c>
    </row>
    <row r="60" customHeight="1" spans="1:5">
      <c r="A60" s="550"/>
      <c r="B60" s="548" t="s">
        <v>41</v>
      </c>
      <c r="C60" s="549"/>
      <c r="D60" s="545">
        <v>0</v>
      </c>
      <c r="E60" s="546">
        <v>0</v>
      </c>
    </row>
    <row r="61" customHeight="1" spans="1:5">
      <c r="A61" s="550" t="s">
        <v>42</v>
      </c>
      <c r="B61" s="548" t="s">
        <v>43</v>
      </c>
      <c r="C61" s="549"/>
      <c r="D61" s="545">
        <v>0</v>
      </c>
      <c r="E61" s="546">
        <v>0</v>
      </c>
    </row>
    <row r="62" ht="27.75" customHeight="1" spans="1:5">
      <c r="A62" s="550" t="s">
        <v>44</v>
      </c>
      <c r="B62" s="548" t="s">
        <v>45</v>
      </c>
      <c r="C62" s="549"/>
      <c r="D62" s="545">
        <v>0</v>
      </c>
      <c r="E62" s="546">
        <v>0</v>
      </c>
    </row>
    <row r="63" ht="56.25" customHeight="1" spans="1:5">
      <c r="A63" s="558" t="s">
        <v>49</v>
      </c>
      <c r="B63" s="558"/>
      <c r="C63" s="558"/>
      <c r="D63" s="558"/>
      <c r="E63" s="558"/>
    </row>
    <row r="64" spans="1:5">
      <c r="A64" s="510" t="s">
        <v>50</v>
      </c>
      <c r="B64" s="510"/>
      <c r="C64" s="510"/>
      <c r="D64" s="510"/>
      <c r="E64" s="510"/>
    </row>
    <row r="66" spans="1:5">
      <c r="A66" s="559" t="s">
        <v>51</v>
      </c>
      <c r="B66" s="560"/>
      <c r="C66" s="561"/>
      <c r="D66" s="562" t="str">
        <f>'Valor posto 40%'!Q183</f>
        <v/>
      </c>
      <c r="E66" s="563"/>
    </row>
    <row r="67" spans="1:5">
      <c r="A67" s="559" t="s">
        <v>52</v>
      </c>
      <c r="B67" s="564" t="s">
        <v>53</v>
      </c>
      <c r="C67" s="561"/>
      <c r="D67" s="563"/>
      <c r="E67" s="563"/>
    </row>
    <row r="68" s="440" customFormat="1" spans="1:3">
      <c r="A68" s="565"/>
      <c r="B68" s="566"/>
      <c r="C68" s="566"/>
    </row>
    <row r="69" spans="1:5">
      <c r="A69" s="510" t="s">
        <v>54</v>
      </c>
      <c r="B69" s="510"/>
      <c r="C69" s="510"/>
      <c r="D69" s="510"/>
      <c r="E69" s="510"/>
    </row>
    <row r="71" spans="1:3">
      <c r="A71" s="559" t="s">
        <v>55</v>
      </c>
      <c r="B71" s="567" t="s">
        <v>56</v>
      </c>
      <c r="C71" s="568"/>
    </row>
    <row r="72" spans="1:3">
      <c r="A72" s="559" t="s">
        <v>57</v>
      </c>
      <c r="B72" s="569">
        <v>43466</v>
      </c>
      <c r="C72" s="570"/>
    </row>
    <row r="73" spans="1:3">
      <c r="A73" s="559" t="s">
        <v>58</v>
      </c>
      <c r="B73" s="571">
        <v>1083.96</v>
      </c>
      <c r="C73" s="572" t="s">
        <v>59</v>
      </c>
    </row>
    <row r="74" spans="1:4">
      <c r="A74" s="565"/>
      <c r="B74" s="573"/>
      <c r="C74" s="573"/>
      <c r="D74" s="574"/>
    </row>
    <row r="75" spans="1:5">
      <c r="A75" s="510" t="s">
        <v>60</v>
      </c>
      <c r="B75" s="510"/>
      <c r="C75" s="510"/>
      <c r="D75" s="510"/>
      <c r="E75" s="510"/>
    </row>
    <row r="77" spans="1:4">
      <c r="A77" s="575" t="s">
        <v>61</v>
      </c>
      <c r="B77" s="576">
        <v>220</v>
      </c>
      <c r="C77" s="577"/>
      <c r="D77" s="574"/>
    </row>
    <row r="78" spans="1:4">
      <c r="A78" s="575" t="s">
        <v>62</v>
      </c>
      <c r="B78" s="576">
        <v>44</v>
      </c>
      <c r="C78" s="577"/>
      <c r="D78" s="574"/>
    </row>
    <row r="79" spans="1:4">
      <c r="A79" s="575" t="s">
        <v>63</v>
      </c>
      <c r="B79" s="576">
        <v>8</v>
      </c>
      <c r="C79" s="578" t="str">
        <f>IF(B79=8.8,"Nota: 8,8 = 8h 48min","")</f>
        <v/>
      </c>
      <c r="D79" s="574"/>
    </row>
    <row r="81" spans="1:5">
      <c r="A81" s="510" t="s">
        <v>64</v>
      </c>
      <c r="B81" s="510"/>
      <c r="C81" s="510"/>
      <c r="D81" s="510"/>
      <c r="E81" s="510"/>
    </row>
    <row r="83" spans="1:3">
      <c r="A83" s="575" t="s">
        <v>65</v>
      </c>
      <c r="B83" s="579">
        <v>0.03</v>
      </c>
      <c r="C83" s="505" t="s">
        <v>66</v>
      </c>
    </row>
    <row r="84" spans="1:3">
      <c r="A84" s="575" t="s">
        <v>67</v>
      </c>
      <c r="B84" s="580">
        <v>1</v>
      </c>
      <c r="C84" s="505" t="s">
        <v>66</v>
      </c>
    </row>
    <row r="85" spans="1:4">
      <c r="A85" s="575" t="s">
        <v>68</v>
      </c>
      <c r="B85" s="571">
        <v>16.73</v>
      </c>
      <c r="C85" s="581"/>
      <c r="D85" s="574"/>
    </row>
    <row r="86" spans="1:4">
      <c r="A86" s="575" t="s">
        <v>69</v>
      </c>
      <c r="B86" s="582">
        <v>0.19</v>
      </c>
      <c r="C86" s="581"/>
      <c r="D86" s="574"/>
    </row>
    <row r="87" spans="1:4">
      <c r="A87" s="575" t="s">
        <v>70</v>
      </c>
      <c r="B87" s="583">
        <v>21</v>
      </c>
      <c r="C87" s="577"/>
      <c r="D87" s="574"/>
    </row>
    <row r="88" spans="1:4">
      <c r="A88" s="575" t="s">
        <v>71</v>
      </c>
      <c r="B88" s="571">
        <v>4.7</v>
      </c>
      <c r="C88" s="581"/>
      <c r="D88" s="574"/>
    </row>
    <row r="89" spans="1:4">
      <c r="A89" s="575" t="s">
        <v>72</v>
      </c>
      <c r="B89" s="583">
        <v>2</v>
      </c>
      <c r="C89" s="577"/>
      <c r="D89" s="574"/>
    </row>
    <row r="90" spans="1:4">
      <c r="A90" s="575" t="s">
        <v>73</v>
      </c>
      <c r="B90" s="583">
        <v>21</v>
      </c>
      <c r="C90" s="577"/>
      <c r="D90" s="574"/>
    </row>
    <row r="91" spans="1:4">
      <c r="A91" s="575" t="s">
        <v>74</v>
      </c>
      <c r="B91" s="584">
        <v>15.02</v>
      </c>
      <c r="C91" s="581"/>
      <c r="D91" s="574"/>
    </row>
    <row r="93" spans="1:5">
      <c r="A93" s="510" t="s">
        <v>75</v>
      </c>
      <c r="B93" s="510"/>
      <c r="C93" s="510"/>
      <c r="D93" s="510"/>
      <c r="E93" s="510"/>
    </row>
    <row r="95" ht="15" customHeight="1" spans="2:4">
      <c r="B95" s="585" t="s">
        <v>76</v>
      </c>
      <c r="C95" s="586"/>
      <c r="D95" s="587"/>
    </row>
    <row r="96" spans="2:4">
      <c r="B96" s="585" t="s">
        <v>77</v>
      </c>
      <c r="C96" s="586" t="s">
        <v>78</v>
      </c>
      <c r="D96" s="588"/>
    </row>
    <row r="97" spans="1:5">
      <c r="A97" s="559" t="s">
        <v>79</v>
      </c>
      <c r="B97" s="589">
        <v>0.05</v>
      </c>
      <c r="C97" s="590">
        <v>0.05</v>
      </c>
      <c r="D97" s="591"/>
      <c r="E97" s="592"/>
    </row>
    <row r="98" spans="1:5">
      <c r="A98" s="559" t="s">
        <v>80</v>
      </c>
      <c r="B98" s="589">
        <v>0.061</v>
      </c>
      <c r="C98" s="590">
        <v>0.061</v>
      </c>
      <c r="D98" s="591"/>
      <c r="E98" s="592"/>
    </row>
    <row r="99" customHeight="1" spans="1:5">
      <c r="A99" s="559" t="s">
        <v>81</v>
      </c>
      <c r="B99" s="593">
        <v>0.025</v>
      </c>
      <c r="C99" s="594">
        <v>0.025</v>
      </c>
      <c r="D99" s="591"/>
      <c r="E99" s="592"/>
    </row>
    <row r="100" spans="1:4">
      <c r="A100" s="559"/>
      <c r="D100" s="439"/>
    </row>
    <row r="101" customHeight="1"/>
    <row r="102" customHeight="1"/>
  </sheetData>
  <mergeCells count="65">
    <mergeCell ref="A8:E8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A21:E21"/>
    <mergeCell ref="A23:E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A43:E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A63:E63"/>
    <mergeCell ref="A64:E64"/>
    <mergeCell ref="A69:E69"/>
    <mergeCell ref="A75:E75"/>
    <mergeCell ref="A81:E81"/>
    <mergeCell ref="A93:E93"/>
    <mergeCell ref="B95:C95"/>
    <mergeCell ref="A25:A30"/>
    <mergeCell ref="A31:A36"/>
    <mergeCell ref="A37:A39"/>
    <mergeCell ref="A45:A51"/>
    <mergeCell ref="A52:A57"/>
    <mergeCell ref="A58:A60"/>
    <mergeCell ref="D66:E67"/>
  </mergeCells>
  <conditionalFormatting sqref="B5">
    <cfRule type="expression" dxfId="0" priority="1" stopIfTrue="1">
      <formula>LEN(TRIM(B5))=0</formula>
    </cfRule>
    <cfRule type="expression" dxfId="1" priority="2" stopIfTrue="1">
      <formula>LEN(TRIM(B5))=0</formula>
    </cfRule>
  </conditionalFormatting>
  <conditionalFormatting sqref="B13:E13">
    <cfRule type="expression" dxfId="2" priority="3" stopIfTrue="1">
      <formula>LEN(TRIM(B13))=0</formula>
    </cfRule>
  </conditionalFormatting>
  <conditionalFormatting sqref="D66:E67">
    <cfRule type="expression" dxfId="3" priority="4" stopIfTrue="1">
      <formula>LEN(TRIM(D66))&gt;0</formula>
    </cfRule>
    <cfRule type="expression" dxfId="4" priority="5" stopIfTrue="1">
      <formula>LEN(TRIM(D66))&gt;0</formula>
    </cfRule>
  </conditionalFormatting>
  <printOptions horizontalCentered="1"/>
  <pageMargins left="0.313888888888889" right="0.313888888888889" top="0.393055555555556" bottom="0.393055555555556" header="0.313888888888889" footer="0.313888888888889"/>
  <pageSetup paperSize="9" scale="70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5" tint="-0.249977111117893"/>
  </sheetPr>
  <dimension ref="A1:I124"/>
  <sheetViews>
    <sheetView showGridLines="0" workbookViewId="0">
      <selection activeCell="G89" sqref="G89"/>
    </sheetView>
  </sheetViews>
  <sheetFormatPr defaultColWidth="9" defaultRowHeight="14.25"/>
  <cols>
    <col min="1" max="1" width="49.4285714285714" style="440" customWidth="1"/>
    <col min="2" max="2" width="10.1428571428571" style="441" customWidth="1"/>
    <col min="3" max="3" width="13.5714285714286" style="441" customWidth="1"/>
    <col min="4" max="4" width="12.4285714285714" style="441" customWidth="1"/>
    <col min="5" max="5" width="11.4285714285714" style="442" customWidth="1"/>
    <col min="6" max="6" width="10.8571428571429" style="442" customWidth="1"/>
    <col min="7" max="7" width="10.7142857142857" style="440" customWidth="1"/>
    <col min="8" max="8" width="9.14285714285714" style="440" customWidth="1"/>
    <col min="9" max="256" width="9" style="440"/>
    <col min="257" max="257" width="49.4285714285714" style="440" customWidth="1"/>
    <col min="258" max="258" width="10.1428571428571" style="440" customWidth="1"/>
    <col min="259" max="259" width="13.5714285714286" style="440" customWidth="1"/>
    <col min="260" max="260" width="12.4285714285714" style="440" customWidth="1"/>
    <col min="261" max="261" width="11.4285714285714" style="440" customWidth="1"/>
    <col min="262" max="262" width="10.8571428571429" style="440" customWidth="1"/>
    <col min="263" max="263" width="10.7142857142857" style="440" customWidth="1"/>
    <col min="264" max="512" width="9" style="440"/>
    <col min="513" max="513" width="49.4285714285714" style="440" customWidth="1"/>
    <col min="514" max="514" width="10.1428571428571" style="440" customWidth="1"/>
    <col min="515" max="515" width="13.5714285714286" style="440" customWidth="1"/>
    <col min="516" max="516" width="12.4285714285714" style="440" customWidth="1"/>
    <col min="517" max="517" width="11.4285714285714" style="440" customWidth="1"/>
    <col min="518" max="518" width="10.8571428571429" style="440" customWidth="1"/>
    <col min="519" max="519" width="10.7142857142857" style="440" customWidth="1"/>
    <col min="520" max="768" width="9" style="440"/>
    <col min="769" max="769" width="49.4285714285714" style="440" customWidth="1"/>
    <col min="770" max="770" width="10.1428571428571" style="440" customWidth="1"/>
    <col min="771" max="771" width="13.5714285714286" style="440" customWidth="1"/>
    <col min="772" max="772" width="12.4285714285714" style="440" customWidth="1"/>
    <col min="773" max="773" width="11.4285714285714" style="440" customWidth="1"/>
    <col min="774" max="774" width="10.8571428571429" style="440" customWidth="1"/>
    <col min="775" max="775" width="10.7142857142857" style="440" customWidth="1"/>
    <col min="776" max="1024" width="9" style="440"/>
    <col min="1025" max="1025" width="49.4285714285714" style="440" customWidth="1"/>
    <col min="1026" max="1026" width="10.1428571428571" style="440" customWidth="1"/>
    <col min="1027" max="1027" width="13.5714285714286" style="440" customWidth="1"/>
    <col min="1028" max="1028" width="12.4285714285714" style="440" customWidth="1"/>
    <col min="1029" max="1029" width="11.4285714285714" style="440" customWidth="1"/>
    <col min="1030" max="1030" width="10.8571428571429" style="440" customWidth="1"/>
    <col min="1031" max="1031" width="10.7142857142857" style="440" customWidth="1"/>
    <col min="1032" max="1280" width="9" style="440"/>
    <col min="1281" max="1281" width="49.4285714285714" style="440" customWidth="1"/>
    <col min="1282" max="1282" width="10.1428571428571" style="440" customWidth="1"/>
    <col min="1283" max="1283" width="13.5714285714286" style="440" customWidth="1"/>
    <col min="1284" max="1284" width="12.4285714285714" style="440" customWidth="1"/>
    <col min="1285" max="1285" width="11.4285714285714" style="440" customWidth="1"/>
    <col min="1286" max="1286" width="10.8571428571429" style="440" customWidth="1"/>
    <col min="1287" max="1287" width="10.7142857142857" style="440" customWidth="1"/>
    <col min="1288" max="1536" width="9" style="440"/>
    <col min="1537" max="1537" width="49.4285714285714" style="440" customWidth="1"/>
    <col min="1538" max="1538" width="10.1428571428571" style="440" customWidth="1"/>
    <col min="1539" max="1539" width="13.5714285714286" style="440" customWidth="1"/>
    <col min="1540" max="1540" width="12.4285714285714" style="440" customWidth="1"/>
    <col min="1541" max="1541" width="11.4285714285714" style="440" customWidth="1"/>
    <col min="1542" max="1542" width="10.8571428571429" style="440" customWidth="1"/>
    <col min="1543" max="1543" width="10.7142857142857" style="440" customWidth="1"/>
    <col min="1544" max="1792" width="9" style="440"/>
    <col min="1793" max="1793" width="49.4285714285714" style="440" customWidth="1"/>
    <col min="1794" max="1794" width="10.1428571428571" style="440" customWidth="1"/>
    <col min="1795" max="1795" width="13.5714285714286" style="440" customWidth="1"/>
    <col min="1796" max="1796" width="12.4285714285714" style="440" customWidth="1"/>
    <col min="1797" max="1797" width="11.4285714285714" style="440" customWidth="1"/>
    <col min="1798" max="1798" width="10.8571428571429" style="440" customWidth="1"/>
    <col min="1799" max="1799" width="10.7142857142857" style="440" customWidth="1"/>
    <col min="1800" max="2048" width="9" style="440"/>
    <col min="2049" max="2049" width="49.4285714285714" style="440" customWidth="1"/>
    <col min="2050" max="2050" width="10.1428571428571" style="440" customWidth="1"/>
    <col min="2051" max="2051" width="13.5714285714286" style="440" customWidth="1"/>
    <col min="2052" max="2052" width="12.4285714285714" style="440" customWidth="1"/>
    <col min="2053" max="2053" width="11.4285714285714" style="440" customWidth="1"/>
    <col min="2054" max="2054" width="10.8571428571429" style="440" customWidth="1"/>
    <col min="2055" max="2055" width="10.7142857142857" style="440" customWidth="1"/>
    <col min="2056" max="2304" width="9" style="440"/>
    <col min="2305" max="2305" width="49.4285714285714" style="440" customWidth="1"/>
    <col min="2306" max="2306" width="10.1428571428571" style="440" customWidth="1"/>
    <col min="2307" max="2307" width="13.5714285714286" style="440" customWidth="1"/>
    <col min="2308" max="2308" width="12.4285714285714" style="440" customWidth="1"/>
    <col min="2309" max="2309" width="11.4285714285714" style="440" customWidth="1"/>
    <col min="2310" max="2310" width="10.8571428571429" style="440" customWidth="1"/>
    <col min="2311" max="2311" width="10.7142857142857" style="440" customWidth="1"/>
    <col min="2312" max="2560" width="9" style="440"/>
    <col min="2561" max="2561" width="49.4285714285714" style="440" customWidth="1"/>
    <col min="2562" max="2562" width="10.1428571428571" style="440" customWidth="1"/>
    <col min="2563" max="2563" width="13.5714285714286" style="440" customWidth="1"/>
    <col min="2564" max="2564" width="12.4285714285714" style="440" customWidth="1"/>
    <col min="2565" max="2565" width="11.4285714285714" style="440" customWidth="1"/>
    <col min="2566" max="2566" width="10.8571428571429" style="440" customWidth="1"/>
    <col min="2567" max="2567" width="10.7142857142857" style="440" customWidth="1"/>
    <col min="2568" max="2816" width="9" style="440"/>
    <col min="2817" max="2817" width="49.4285714285714" style="440" customWidth="1"/>
    <col min="2818" max="2818" width="10.1428571428571" style="440" customWidth="1"/>
    <col min="2819" max="2819" width="13.5714285714286" style="440" customWidth="1"/>
    <col min="2820" max="2820" width="12.4285714285714" style="440" customWidth="1"/>
    <col min="2821" max="2821" width="11.4285714285714" style="440" customWidth="1"/>
    <col min="2822" max="2822" width="10.8571428571429" style="440" customWidth="1"/>
    <col min="2823" max="2823" width="10.7142857142857" style="440" customWidth="1"/>
    <col min="2824" max="3072" width="9" style="440"/>
    <col min="3073" max="3073" width="49.4285714285714" style="440" customWidth="1"/>
    <col min="3074" max="3074" width="10.1428571428571" style="440" customWidth="1"/>
    <col min="3075" max="3075" width="13.5714285714286" style="440" customWidth="1"/>
    <col min="3076" max="3076" width="12.4285714285714" style="440" customWidth="1"/>
    <col min="3077" max="3077" width="11.4285714285714" style="440" customWidth="1"/>
    <col min="3078" max="3078" width="10.8571428571429" style="440" customWidth="1"/>
    <col min="3079" max="3079" width="10.7142857142857" style="440" customWidth="1"/>
    <col min="3080" max="3328" width="9" style="440"/>
    <col min="3329" max="3329" width="49.4285714285714" style="440" customWidth="1"/>
    <col min="3330" max="3330" width="10.1428571428571" style="440" customWidth="1"/>
    <col min="3331" max="3331" width="13.5714285714286" style="440" customWidth="1"/>
    <col min="3332" max="3332" width="12.4285714285714" style="440" customWidth="1"/>
    <col min="3333" max="3333" width="11.4285714285714" style="440" customWidth="1"/>
    <col min="3334" max="3334" width="10.8571428571429" style="440" customWidth="1"/>
    <col min="3335" max="3335" width="10.7142857142857" style="440" customWidth="1"/>
    <col min="3336" max="3584" width="9" style="440"/>
    <col min="3585" max="3585" width="49.4285714285714" style="440" customWidth="1"/>
    <col min="3586" max="3586" width="10.1428571428571" style="440" customWidth="1"/>
    <col min="3587" max="3587" width="13.5714285714286" style="440" customWidth="1"/>
    <col min="3588" max="3588" width="12.4285714285714" style="440" customWidth="1"/>
    <col min="3589" max="3589" width="11.4285714285714" style="440" customWidth="1"/>
    <col min="3590" max="3590" width="10.8571428571429" style="440" customWidth="1"/>
    <col min="3591" max="3591" width="10.7142857142857" style="440" customWidth="1"/>
    <col min="3592" max="3840" width="9" style="440"/>
    <col min="3841" max="3841" width="49.4285714285714" style="440" customWidth="1"/>
    <col min="3842" max="3842" width="10.1428571428571" style="440" customWidth="1"/>
    <col min="3843" max="3843" width="13.5714285714286" style="440" customWidth="1"/>
    <col min="3844" max="3844" width="12.4285714285714" style="440" customWidth="1"/>
    <col min="3845" max="3845" width="11.4285714285714" style="440" customWidth="1"/>
    <col min="3846" max="3846" width="10.8571428571429" style="440" customWidth="1"/>
    <col min="3847" max="3847" width="10.7142857142857" style="440" customWidth="1"/>
    <col min="3848" max="4096" width="9" style="440"/>
    <col min="4097" max="4097" width="49.4285714285714" style="440" customWidth="1"/>
    <col min="4098" max="4098" width="10.1428571428571" style="440" customWidth="1"/>
    <col min="4099" max="4099" width="13.5714285714286" style="440" customWidth="1"/>
    <col min="4100" max="4100" width="12.4285714285714" style="440" customWidth="1"/>
    <col min="4101" max="4101" width="11.4285714285714" style="440" customWidth="1"/>
    <col min="4102" max="4102" width="10.8571428571429" style="440" customWidth="1"/>
    <col min="4103" max="4103" width="10.7142857142857" style="440" customWidth="1"/>
    <col min="4104" max="4352" width="9" style="440"/>
    <col min="4353" max="4353" width="49.4285714285714" style="440" customWidth="1"/>
    <col min="4354" max="4354" width="10.1428571428571" style="440" customWidth="1"/>
    <col min="4355" max="4355" width="13.5714285714286" style="440" customWidth="1"/>
    <col min="4356" max="4356" width="12.4285714285714" style="440" customWidth="1"/>
    <col min="4357" max="4357" width="11.4285714285714" style="440" customWidth="1"/>
    <col min="4358" max="4358" width="10.8571428571429" style="440" customWidth="1"/>
    <col min="4359" max="4359" width="10.7142857142857" style="440" customWidth="1"/>
    <col min="4360" max="4608" width="9" style="440"/>
    <col min="4609" max="4609" width="49.4285714285714" style="440" customWidth="1"/>
    <col min="4610" max="4610" width="10.1428571428571" style="440" customWidth="1"/>
    <col min="4611" max="4611" width="13.5714285714286" style="440" customWidth="1"/>
    <col min="4612" max="4612" width="12.4285714285714" style="440" customWidth="1"/>
    <col min="4613" max="4613" width="11.4285714285714" style="440" customWidth="1"/>
    <col min="4614" max="4614" width="10.8571428571429" style="440" customWidth="1"/>
    <col min="4615" max="4615" width="10.7142857142857" style="440" customWidth="1"/>
    <col min="4616" max="4864" width="9" style="440"/>
    <col min="4865" max="4865" width="49.4285714285714" style="440" customWidth="1"/>
    <col min="4866" max="4866" width="10.1428571428571" style="440" customWidth="1"/>
    <col min="4867" max="4867" width="13.5714285714286" style="440" customWidth="1"/>
    <col min="4868" max="4868" width="12.4285714285714" style="440" customWidth="1"/>
    <col min="4869" max="4869" width="11.4285714285714" style="440" customWidth="1"/>
    <col min="4870" max="4870" width="10.8571428571429" style="440" customWidth="1"/>
    <col min="4871" max="4871" width="10.7142857142857" style="440" customWidth="1"/>
    <col min="4872" max="5120" width="9" style="440"/>
    <col min="5121" max="5121" width="49.4285714285714" style="440" customWidth="1"/>
    <col min="5122" max="5122" width="10.1428571428571" style="440" customWidth="1"/>
    <col min="5123" max="5123" width="13.5714285714286" style="440" customWidth="1"/>
    <col min="5124" max="5124" width="12.4285714285714" style="440" customWidth="1"/>
    <col min="5125" max="5125" width="11.4285714285714" style="440" customWidth="1"/>
    <col min="5126" max="5126" width="10.8571428571429" style="440" customWidth="1"/>
    <col min="5127" max="5127" width="10.7142857142857" style="440" customWidth="1"/>
    <col min="5128" max="5376" width="9" style="440"/>
    <col min="5377" max="5377" width="49.4285714285714" style="440" customWidth="1"/>
    <col min="5378" max="5378" width="10.1428571428571" style="440" customWidth="1"/>
    <col min="5379" max="5379" width="13.5714285714286" style="440" customWidth="1"/>
    <col min="5380" max="5380" width="12.4285714285714" style="440" customWidth="1"/>
    <col min="5381" max="5381" width="11.4285714285714" style="440" customWidth="1"/>
    <col min="5382" max="5382" width="10.8571428571429" style="440" customWidth="1"/>
    <col min="5383" max="5383" width="10.7142857142857" style="440" customWidth="1"/>
    <col min="5384" max="5632" width="9" style="440"/>
    <col min="5633" max="5633" width="49.4285714285714" style="440" customWidth="1"/>
    <col min="5634" max="5634" width="10.1428571428571" style="440" customWidth="1"/>
    <col min="5635" max="5635" width="13.5714285714286" style="440" customWidth="1"/>
    <col min="5636" max="5636" width="12.4285714285714" style="440" customWidth="1"/>
    <col min="5637" max="5637" width="11.4285714285714" style="440" customWidth="1"/>
    <col min="5638" max="5638" width="10.8571428571429" style="440" customWidth="1"/>
    <col min="5639" max="5639" width="10.7142857142857" style="440" customWidth="1"/>
    <col min="5640" max="5888" width="9" style="440"/>
    <col min="5889" max="5889" width="49.4285714285714" style="440" customWidth="1"/>
    <col min="5890" max="5890" width="10.1428571428571" style="440" customWidth="1"/>
    <col min="5891" max="5891" width="13.5714285714286" style="440" customWidth="1"/>
    <col min="5892" max="5892" width="12.4285714285714" style="440" customWidth="1"/>
    <col min="5893" max="5893" width="11.4285714285714" style="440" customWidth="1"/>
    <col min="5894" max="5894" width="10.8571428571429" style="440" customWidth="1"/>
    <col min="5895" max="5895" width="10.7142857142857" style="440" customWidth="1"/>
    <col min="5896" max="6144" width="9" style="440"/>
    <col min="6145" max="6145" width="49.4285714285714" style="440" customWidth="1"/>
    <col min="6146" max="6146" width="10.1428571428571" style="440" customWidth="1"/>
    <col min="6147" max="6147" width="13.5714285714286" style="440" customWidth="1"/>
    <col min="6148" max="6148" width="12.4285714285714" style="440" customWidth="1"/>
    <col min="6149" max="6149" width="11.4285714285714" style="440" customWidth="1"/>
    <col min="6150" max="6150" width="10.8571428571429" style="440" customWidth="1"/>
    <col min="6151" max="6151" width="10.7142857142857" style="440" customWidth="1"/>
    <col min="6152" max="6400" width="9" style="440"/>
    <col min="6401" max="6401" width="49.4285714285714" style="440" customWidth="1"/>
    <col min="6402" max="6402" width="10.1428571428571" style="440" customWidth="1"/>
    <col min="6403" max="6403" width="13.5714285714286" style="440" customWidth="1"/>
    <col min="6404" max="6404" width="12.4285714285714" style="440" customWidth="1"/>
    <col min="6405" max="6405" width="11.4285714285714" style="440" customWidth="1"/>
    <col min="6406" max="6406" width="10.8571428571429" style="440" customWidth="1"/>
    <col min="6407" max="6407" width="10.7142857142857" style="440" customWidth="1"/>
    <col min="6408" max="6656" width="9" style="440"/>
    <col min="6657" max="6657" width="49.4285714285714" style="440" customWidth="1"/>
    <col min="6658" max="6658" width="10.1428571428571" style="440" customWidth="1"/>
    <col min="6659" max="6659" width="13.5714285714286" style="440" customWidth="1"/>
    <col min="6660" max="6660" width="12.4285714285714" style="440" customWidth="1"/>
    <col min="6661" max="6661" width="11.4285714285714" style="440" customWidth="1"/>
    <col min="6662" max="6662" width="10.8571428571429" style="440" customWidth="1"/>
    <col min="6663" max="6663" width="10.7142857142857" style="440" customWidth="1"/>
    <col min="6664" max="6912" width="9" style="440"/>
    <col min="6913" max="6913" width="49.4285714285714" style="440" customWidth="1"/>
    <col min="6914" max="6914" width="10.1428571428571" style="440" customWidth="1"/>
    <col min="6915" max="6915" width="13.5714285714286" style="440" customWidth="1"/>
    <col min="6916" max="6916" width="12.4285714285714" style="440" customWidth="1"/>
    <col min="6917" max="6917" width="11.4285714285714" style="440" customWidth="1"/>
    <col min="6918" max="6918" width="10.8571428571429" style="440" customWidth="1"/>
    <col min="6919" max="6919" width="10.7142857142857" style="440" customWidth="1"/>
    <col min="6920" max="7168" width="9" style="440"/>
    <col min="7169" max="7169" width="49.4285714285714" style="440" customWidth="1"/>
    <col min="7170" max="7170" width="10.1428571428571" style="440" customWidth="1"/>
    <col min="7171" max="7171" width="13.5714285714286" style="440" customWidth="1"/>
    <col min="7172" max="7172" width="12.4285714285714" style="440" customWidth="1"/>
    <col min="7173" max="7173" width="11.4285714285714" style="440" customWidth="1"/>
    <col min="7174" max="7174" width="10.8571428571429" style="440" customWidth="1"/>
    <col min="7175" max="7175" width="10.7142857142857" style="440" customWidth="1"/>
    <col min="7176" max="7424" width="9" style="440"/>
    <col min="7425" max="7425" width="49.4285714285714" style="440" customWidth="1"/>
    <col min="7426" max="7426" width="10.1428571428571" style="440" customWidth="1"/>
    <col min="7427" max="7427" width="13.5714285714286" style="440" customWidth="1"/>
    <col min="7428" max="7428" width="12.4285714285714" style="440" customWidth="1"/>
    <col min="7429" max="7429" width="11.4285714285714" style="440" customWidth="1"/>
    <col min="7430" max="7430" width="10.8571428571429" style="440" customWidth="1"/>
    <col min="7431" max="7431" width="10.7142857142857" style="440" customWidth="1"/>
    <col min="7432" max="7680" width="9" style="440"/>
    <col min="7681" max="7681" width="49.4285714285714" style="440" customWidth="1"/>
    <col min="7682" max="7682" width="10.1428571428571" style="440" customWidth="1"/>
    <col min="7683" max="7683" width="13.5714285714286" style="440" customWidth="1"/>
    <col min="7684" max="7684" width="12.4285714285714" style="440" customWidth="1"/>
    <col min="7685" max="7685" width="11.4285714285714" style="440" customWidth="1"/>
    <col min="7686" max="7686" width="10.8571428571429" style="440" customWidth="1"/>
    <col min="7687" max="7687" width="10.7142857142857" style="440" customWidth="1"/>
    <col min="7688" max="7936" width="9" style="440"/>
    <col min="7937" max="7937" width="49.4285714285714" style="440" customWidth="1"/>
    <col min="7938" max="7938" width="10.1428571428571" style="440" customWidth="1"/>
    <col min="7939" max="7939" width="13.5714285714286" style="440" customWidth="1"/>
    <col min="7940" max="7940" width="12.4285714285714" style="440" customWidth="1"/>
    <col min="7941" max="7941" width="11.4285714285714" style="440" customWidth="1"/>
    <col min="7942" max="7942" width="10.8571428571429" style="440" customWidth="1"/>
    <col min="7943" max="7943" width="10.7142857142857" style="440" customWidth="1"/>
    <col min="7944" max="8192" width="9" style="440"/>
    <col min="8193" max="8193" width="49.4285714285714" style="440" customWidth="1"/>
    <col min="8194" max="8194" width="10.1428571428571" style="440" customWidth="1"/>
    <col min="8195" max="8195" width="13.5714285714286" style="440" customWidth="1"/>
    <col min="8196" max="8196" width="12.4285714285714" style="440" customWidth="1"/>
    <col min="8197" max="8197" width="11.4285714285714" style="440" customWidth="1"/>
    <col min="8198" max="8198" width="10.8571428571429" style="440" customWidth="1"/>
    <col min="8199" max="8199" width="10.7142857142857" style="440" customWidth="1"/>
    <col min="8200" max="8448" width="9" style="440"/>
    <col min="8449" max="8449" width="49.4285714285714" style="440" customWidth="1"/>
    <col min="8450" max="8450" width="10.1428571428571" style="440" customWidth="1"/>
    <col min="8451" max="8451" width="13.5714285714286" style="440" customWidth="1"/>
    <col min="8452" max="8452" width="12.4285714285714" style="440" customWidth="1"/>
    <col min="8453" max="8453" width="11.4285714285714" style="440" customWidth="1"/>
    <col min="8454" max="8454" width="10.8571428571429" style="440" customWidth="1"/>
    <col min="8455" max="8455" width="10.7142857142857" style="440" customWidth="1"/>
    <col min="8456" max="8704" width="9" style="440"/>
    <col min="8705" max="8705" width="49.4285714285714" style="440" customWidth="1"/>
    <col min="8706" max="8706" width="10.1428571428571" style="440" customWidth="1"/>
    <col min="8707" max="8707" width="13.5714285714286" style="440" customWidth="1"/>
    <col min="8708" max="8708" width="12.4285714285714" style="440" customWidth="1"/>
    <col min="8709" max="8709" width="11.4285714285714" style="440" customWidth="1"/>
    <col min="8710" max="8710" width="10.8571428571429" style="440" customWidth="1"/>
    <col min="8711" max="8711" width="10.7142857142857" style="440" customWidth="1"/>
    <col min="8712" max="8960" width="9" style="440"/>
    <col min="8961" max="8961" width="49.4285714285714" style="440" customWidth="1"/>
    <col min="8962" max="8962" width="10.1428571428571" style="440" customWidth="1"/>
    <col min="8963" max="8963" width="13.5714285714286" style="440" customWidth="1"/>
    <col min="8964" max="8964" width="12.4285714285714" style="440" customWidth="1"/>
    <col min="8965" max="8965" width="11.4285714285714" style="440" customWidth="1"/>
    <col min="8966" max="8966" width="10.8571428571429" style="440" customWidth="1"/>
    <col min="8967" max="8967" width="10.7142857142857" style="440" customWidth="1"/>
    <col min="8968" max="9216" width="9" style="440"/>
    <col min="9217" max="9217" width="49.4285714285714" style="440" customWidth="1"/>
    <col min="9218" max="9218" width="10.1428571428571" style="440" customWidth="1"/>
    <col min="9219" max="9219" width="13.5714285714286" style="440" customWidth="1"/>
    <col min="9220" max="9220" width="12.4285714285714" style="440" customWidth="1"/>
    <col min="9221" max="9221" width="11.4285714285714" style="440" customWidth="1"/>
    <col min="9222" max="9222" width="10.8571428571429" style="440" customWidth="1"/>
    <col min="9223" max="9223" width="10.7142857142857" style="440" customWidth="1"/>
    <col min="9224" max="9472" width="9" style="440"/>
    <col min="9473" max="9473" width="49.4285714285714" style="440" customWidth="1"/>
    <col min="9474" max="9474" width="10.1428571428571" style="440" customWidth="1"/>
    <col min="9475" max="9475" width="13.5714285714286" style="440" customWidth="1"/>
    <col min="9476" max="9476" width="12.4285714285714" style="440" customWidth="1"/>
    <col min="9477" max="9477" width="11.4285714285714" style="440" customWidth="1"/>
    <col min="9478" max="9478" width="10.8571428571429" style="440" customWidth="1"/>
    <col min="9479" max="9479" width="10.7142857142857" style="440" customWidth="1"/>
    <col min="9480" max="9728" width="9" style="440"/>
    <col min="9729" max="9729" width="49.4285714285714" style="440" customWidth="1"/>
    <col min="9730" max="9730" width="10.1428571428571" style="440" customWidth="1"/>
    <col min="9731" max="9731" width="13.5714285714286" style="440" customWidth="1"/>
    <col min="9732" max="9732" width="12.4285714285714" style="440" customWidth="1"/>
    <col min="9733" max="9733" width="11.4285714285714" style="440" customWidth="1"/>
    <col min="9734" max="9734" width="10.8571428571429" style="440" customWidth="1"/>
    <col min="9735" max="9735" width="10.7142857142857" style="440" customWidth="1"/>
    <col min="9736" max="9984" width="9" style="440"/>
    <col min="9985" max="9985" width="49.4285714285714" style="440" customWidth="1"/>
    <col min="9986" max="9986" width="10.1428571428571" style="440" customWidth="1"/>
    <col min="9987" max="9987" width="13.5714285714286" style="440" customWidth="1"/>
    <col min="9988" max="9988" width="12.4285714285714" style="440" customWidth="1"/>
    <col min="9989" max="9989" width="11.4285714285714" style="440" customWidth="1"/>
    <col min="9990" max="9990" width="10.8571428571429" style="440" customWidth="1"/>
    <col min="9991" max="9991" width="10.7142857142857" style="440" customWidth="1"/>
    <col min="9992" max="10240" width="9" style="440"/>
    <col min="10241" max="10241" width="49.4285714285714" style="440" customWidth="1"/>
    <col min="10242" max="10242" width="10.1428571428571" style="440" customWidth="1"/>
    <col min="10243" max="10243" width="13.5714285714286" style="440" customWidth="1"/>
    <col min="10244" max="10244" width="12.4285714285714" style="440" customWidth="1"/>
    <col min="10245" max="10245" width="11.4285714285714" style="440" customWidth="1"/>
    <col min="10246" max="10246" width="10.8571428571429" style="440" customWidth="1"/>
    <col min="10247" max="10247" width="10.7142857142857" style="440" customWidth="1"/>
    <col min="10248" max="10496" width="9" style="440"/>
    <col min="10497" max="10497" width="49.4285714285714" style="440" customWidth="1"/>
    <col min="10498" max="10498" width="10.1428571428571" style="440" customWidth="1"/>
    <col min="10499" max="10499" width="13.5714285714286" style="440" customWidth="1"/>
    <col min="10500" max="10500" width="12.4285714285714" style="440" customWidth="1"/>
    <col min="10501" max="10501" width="11.4285714285714" style="440" customWidth="1"/>
    <col min="10502" max="10502" width="10.8571428571429" style="440" customWidth="1"/>
    <col min="10503" max="10503" width="10.7142857142857" style="440" customWidth="1"/>
    <col min="10504" max="10752" width="9" style="440"/>
    <col min="10753" max="10753" width="49.4285714285714" style="440" customWidth="1"/>
    <col min="10754" max="10754" width="10.1428571428571" style="440" customWidth="1"/>
    <col min="10755" max="10755" width="13.5714285714286" style="440" customWidth="1"/>
    <col min="10756" max="10756" width="12.4285714285714" style="440" customWidth="1"/>
    <col min="10757" max="10757" width="11.4285714285714" style="440" customWidth="1"/>
    <col min="10758" max="10758" width="10.8571428571429" style="440" customWidth="1"/>
    <col min="10759" max="10759" width="10.7142857142857" style="440" customWidth="1"/>
    <col min="10760" max="11008" width="9" style="440"/>
    <col min="11009" max="11009" width="49.4285714285714" style="440" customWidth="1"/>
    <col min="11010" max="11010" width="10.1428571428571" style="440" customWidth="1"/>
    <col min="11011" max="11011" width="13.5714285714286" style="440" customWidth="1"/>
    <col min="11012" max="11012" width="12.4285714285714" style="440" customWidth="1"/>
    <col min="11013" max="11013" width="11.4285714285714" style="440" customWidth="1"/>
    <col min="11014" max="11014" width="10.8571428571429" style="440" customWidth="1"/>
    <col min="11015" max="11015" width="10.7142857142857" style="440" customWidth="1"/>
    <col min="11016" max="11264" width="9" style="440"/>
    <col min="11265" max="11265" width="49.4285714285714" style="440" customWidth="1"/>
    <col min="11266" max="11266" width="10.1428571428571" style="440" customWidth="1"/>
    <col min="11267" max="11267" width="13.5714285714286" style="440" customWidth="1"/>
    <col min="11268" max="11268" width="12.4285714285714" style="440" customWidth="1"/>
    <col min="11269" max="11269" width="11.4285714285714" style="440" customWidth="1"/>
    <col min="11270" max="11270" width="10.8571428571429" style="440" customWidth="1"/>
    <col min="11271" max="11271" width="10.7142857142857" style="440" customWidth="1"/>
    <col min="11272" max="11520" width="9" style="440"/>
    <col min="11521" max="11521" width="49.4285714285714" style="440" customWidth="1"/>
    <col min="11522" max="11522" width="10.1428571428571" style="440" customWidth="1"/>
    <col min="11523" max="11523" width="13.5714285714286" style="440" customWidth="1"/>
    <col min="11524" max="11524" width="12.4285714285714" style="440" customWidth="1"/>
    <col min="11525" max="11525" width="11.4285714285714" style="440" customWidth="1"/>
    <col min="11526" max="11526" width="10.8571428571429" style="440" customWidth="1"/>
    <col min="11527" max="11527" width="10.7142857142857" style="440" customWidth="1"/>
    <col min="11528" max="11776" width="9" style="440"/>
    <col min="11777" max="11777" width="49.4285714285714" style="440" customWidth="1"/>
    <col min="11778" max="11778" width="10.1428571428571" style="440" customWidth="1"/>
    <col min="11779" max="11779" width="13.5714285714286" style="440" customWidth="1"/>
    <col min="11780" max="11780" width="12.4285714285714" style="440" customWidth="1"/>
    <col min="11781" max="11781" width="11.4285714285714" style="440" customWidth="1"/>
    <col min="11782" max="11782" width="10.8571428571429" style="440" customWidth="1"/>
    <col min="11783" max="11783" width="10.7142857142857" style="440" customWidth="1"/>
    <col min="11784" max="12032" width="9" style="440"/>
    <col min="12033" max="12033" width="49.4285714285714" style="440" customWidth="1"/>
    <col min="12034" max="12034" width="10.1428571428571" style="440" customWidth="1"/>
    <col min="12035" max="12035" width="13.5714285714286" style="440" customWidth="1"/>
    <col min="12036" max="12036" width="12.4285714285714" style="440" customWidth="1"/>
    <col min="12037" max="12037" width="11.4285714285714" style="440" customWidth="1"/>
    <col min="12038" max="12038" width="10.8571428571429" style="440" customWidth="1"/>
    <col min="12039" max="12039" width="10.7142857142857" style="440" customWidth="1"/>
    <col min="12040" max="12288" width="9" style="440"/>
    <col min="12289" max="12289" width="49.4285714285714" style="440" customWidth="1"/>
    <col min="12290" max="12290" width="10.1428571428571" style="440" customWidth="1"/>
    <col min="12291" max="12291" width="13.5714285714286" style="440" customWidth="1"/>
    <col min="12292" max="12292" width="12.4285714285714" style="440" customWidth="1"/>
    <col min="12293" max="12293" width="11.4285714285714" style="440" customWidth="1"/>
    <col min="12294" max="12294" width="10.8571428571429" style="440" customWidth="1"/>
    <col min="12295" max="12295" width="10.7142857142857" style="440" customWidth="1"/>
    <col min="12296" max="12544" width="9" style="440"/>
    <col min="12545" max="12545" width="49.4285714285714" style="440" customWidth="1"/>
    <col min="12546" max="12546" width="10.1428571428571" style="440" customWidth="1"/>
    <col min="12547" max="12547" width="13.5714285714286" style="440" customWidth="1"/>
    <col min="12548" max="12548" width="12.4285714285714" style="440" customWidth="1"/>
    <col min="12549" max="12549" width="11.4285714285714" style="440" customWidth="1"/>
    <col min="12550" max="12550" width="10.8571428571429" style="440" customWidth="1"/>
    <col min="12551" max="12551" width="10.7142857142857" style="440" customWidth="1"/>
    <col min="12552" max="12800" width="9" style="440"/>
    <col min="12801" max="12801" width="49.4285714285714" style="440" customWidth="1"/>
    <col min="12802" max="12802" width="10.1428571428571" style="440" customWidth="1"/>
    <col min="12803" max="12803" width="13.5714285714286" style="440" customWidth="1"/>
    <col min="12804" max="12804" width="12.4285714285714" style="440" customWidth="1"/>
    <col min="12805" max="12805" width="11.4285714285714" style="440" customWidth="1"/>
    <col min="12806" max="12806" width="10.8571428571429" style="440" customWidth="1"/>
    <col min="12807" max="12807" width="10.7142857142857" style="440" customWidth="1"/>
    <col min="12808" max="13056" width="9" style="440"/>
    <col min="13057" max="13057" width="49.4285714285714" style="440" customWidth="1"/>
    <col min="13058" max="13058" width="10.1428571428571" style="440" customWidth="1"/>
    <col min="13059" max="13059" width="13.5714285714286" style="440" customWidth="1"/>
    <col min="13060" max="13060" width="12.4285714285714" style="440" customWidth="1"/>
    <col min="13061" max="13061" width="11.4285714285714" style="440" customWidth="1"/>
    <col min="13062" max="13062" width="10.8571428571429" style="440" customWidth="1"/>
    <col min="13063" max="13063" width="10.7142857142857" style="440" customWidth="1"/>
    <col min="13064" max="13312" width="9" style="440"/>
    <col min="13313" max="13313" width="49.4285714285714" style="440" customWidth="1"/>
    <col min="13314" max="13314" width="10.1428571428571" style="440" customWidth="1"/>
    <col min="13315" max="13315" width="13.5714285714286" style="440" customWidth="1"/>
    <col min="13316" max="13316" width="12.4285714285714" style="440" customWidth="1"/>
    <col min="13317" max="13317" width="11.4285714285714" style="440" customWidth="1"/>
    <col min="13318" max="13318" width="10.8571428571429" style="440" customWidth="1"/>
    <col min="13319" max="13319" width="10.7142857142857" style="440" customWidth="1"/>
    <col min="13320" max="13568" width="9" style="440"/>
    <col min="13569" max="13569" width="49.4285714285714" style="440" customWidth="1"/>
    <col min="13570" max="13570" width="10.1428571428571" style="440" customWidth="1"/>
    <col min="13571" max="13571" width="13.5714285714286" style="440" customWidth="1"/>
    <col min="13572" max="13572" width="12.4285714285714" style="440" customWidth="1"/>
    <col min="13573" max="13573" width="11.4285714285714" style="440" customWidth="1"/>
    <col min="13574" max="13574" width="10.8571428571429" style="440" customWidth="1"/>
    <col min="13575" max="13575" width="10.7142857142857" style="440" customWidth="1"/>
    <col min="13576" max="13824" width="9" style="440"/>
    <col min="13825" max="13825" width="49.4285714285714" style="440" customWidth="1"/>
    <col min="13826" max="13826" width="10.1428571428571" style="440" customWidth="1"/>
    <col min="13827" max="13827" width="13.5714285714286" style="440" customWidth="1"/>
    <col min="13828" max="13828" width="12.4285714285714" style="440" customWidth="1"/>
    <col min="13829" max="13829" width="11.4285714285714" style="440" customWidth="1"/>
    <col min="13830" max="13830" width="10.8571428571429" style="440" customWidth="1"/>
    <col min="13831" max="13831" width="10.7142857142857" style="440" customWidth="1"/>
    <col min="13832" max="14080" width="9" style="440"/>
    <col min="14081" max="14081" width="49.4285714285714" style="440" customWidth="1"/>
    <col min="14082" max="14082" width="10.1428571428571" style="440" customWidth="1"/>
    <col min="14083" max="14083" width="13.5714285714286" style="440" customWidth="1"/>
    <col min="14084" max="14084" width="12.4285714285714" style="440" customWidth="1"/>
    <col min="14085" max="14085" width="11.4285714285714" style="440" customWidth="1"/>
    <col min="14086" max="14086" width="10.8571428571429" style="440" customWidth="1"/>
    <col min="14087" max="14087" width="10.7142857142857" style="440" customWidth="1"/>
    <col min="14088" max="14336" width="9" style="440"/>
    <col min="14337" max="14337" width="49.4285714285714" style="440" customWidth="1"/>
    <col min="14338" max="14338" width="10.1428571428571" style="440" customWidth="1"/>
    <col min="14339" max="14339" width="13.5714285714286" style="440" customWidth="1"/>
    <col min="14340" max="14340" width="12.4285714285714" style="440" customWidth="1"/>
    <col min="14341" max="14341" width="11.4285714285714" style="440" customWidth="1"/>
    <col min="14342" max="14342" width="10.8571428571429" style="440" customWidth="1"/>
    <col min="14343" max="14343" width="10.7142857142857" style="440" customWidth="1"/>
    <col min="14344" max="14592" width="9" style="440"/>
    <col min="14593" max="14593" width="49.4285714285714" style="440" customWidth="1"/>
    <col min="14594" max="14594" width="10.1428571428571" style="440" customWidth="1"/>
    <col min="14595" max="14595" width="13.5714285714286" style="440" customWidth="1"/>
    <col min="14596" max="14596" width="12.4285714285714" style="440" customWidth="1"/>
    <col min="14597" max="14597" width="11.4285714285714" style="440" customWidth="1"/>
    <col min="14598" max="14598" width="10.8571428571429" style="440" customWidth="1"/>
    <col min="14599" max="14599" width="10.7142857142857" style="440" customWidth="1"/>
    <col min="14600" max="14848" width="9" style="440"/>
    <col min="14849" max="14849" width="49.4285714285714" style="440" customWidth="1"/>
    <col min="14850" max="14850" width="10.1428571428571" style="440" customWidth="1"/>
    <col min="14851" max="14851" width="13.5714285714286" style="440" customWidth="1"/>
    <col min="14852" max="14852" width="12.4285714285714" style="440" customWidth="1"/>
    <col min="14853" max="14853" width="11.4285714285714" style="440" customWidth="1"/>
    <col min="14854" max="14854" width="10.8571428571429" style="440" customWidth="1"/>
    <col min="14855" max="14855" width="10.7142857142857" style="440" customWidth="1"/>
    <col min="14856" max="15104" width="9" style="440"/>
    <col min="15105" max="15105" width="49.4285714285714" style="440" customWidth="1"/>
    <col min="15106" max="15106" width="10.1428571428571" style="440" customWidth="1"/>
    <col min="15107" max="15107" width="13.5714285714286" style="440" customWidth="1"/>
    <col min="15108" max="15108" width="12.4285714285714" style="440" customWidth="1"/>
    <col min="15109" max="15109" width="11.4285714285714" style="440" customWidth="1"/>
    <col min="15110" max="15110" width="10.8571428571429" style="440" customWidth="1"/>
    <col min="15111" max="15111" width="10.7142857142857" style="440" customWidth="1"/>
    <col min="15112" max="15360" width="9" style="440"/>
    <col min="15361" max="15361" width="49.4285714285714" style="440" customWidth="1"/>
    <col min="15362" max="15362" width="10.1428571428571" style="440" customWidth="1"/>
    <col min="15363" max="15363" width="13.5714285714286" style="440" customWidth="1"/>
    <col min="15364" max="15364" width="12.4285714285714" style="440" customWidth="1"/>
    <col min="15365" max="15365" width="11.4285714285714" style="440" customWidth="1"/>
    <col min="15366" max="15366" width="10.8571428571429" style="440" customWidth="1"/>
    <col min="15367" max="15367" width="10.7142857142857" style="440" customWidth="1"/>
    <col min="15368" max="15616" width="9" style="440"/>
    <col min="15617" max="15617" width="49.4285714285714" style="440" customWidth="1"/>
    <col min="15618" max="15618" width="10.1428571428571" style="440" customWidth="1"/>
    <col min="15619" max="15619" width="13.5714285714286" style="440" customWidth="1"/>
    <col min="15620" max="15620" width="12.4285714285714" style="440" customWidth="1"/>
    <col min="15621" max="15621" width="11.4285714285714" style="440" customWidth="1"/>
    <col min="15622" max="15622" width="10.8571428571429" style="440" customWidth="1"/>
    <col min="15623" max="15623" width="10.7142857142857" style="440" customWidth="1"/>
    <col min="15624" max="15872" width="9" style="440"/>
    <col min="15873" max="15873" width="49.4285714285714" style="440" customWidth="1"/>
    <col min="15874" max="15874" width="10.1428571428571" style="440" customWidth="1"/>
    <col min="15875" max="15875" width="13.5714285714286" style="440" customWidth="1"/>
    <col min="15876" max="15876" width="12.4285714285714" style="440" customWidth="1"/>
    <col min="15877" max="15877" width="11.4285714285714" style="440" customWidth="1"/>
    <col min="15878" max="15878" width="10.8571428571429" style="440" customWidth="1"/>
    <col min="15879" max="15879" width="10.7142857142857" style="440" customWidth="1"/>
    <col min="15880" max="16128" width="9" style="440"/>
    <col min="16129" max="16129" width="49.4285714285714" style="440" customWidth="1"/>
    <col min="16130" max="16130" width="10.1428571428571" style="440" customWidth="1"/>
    <col min="16131" max="16131" width="13.5714285714286" style="440" customWidth="1"/>
    <col min="16132" max="16132" width="12.4285714285714" style="440" customWidth="1"/>
    <col min="16133" max="16133" width="11.4285714285714" style="440" customWidth="1"/>
    <col min="16134" max="16134" width="10.8571428571429" style="440" customWidth="1"/>
    <col min="16135" max="16135" width="10.7142857142857" style="440" customWidth="1"/>
    <col min="16136" max="16384" width="9" style="440"/>
  </cols>
  <sheetData>
    <row r="1" ht="19.35" customHeight="1" spans="1:6">
      <c r="A1" s="443" t="s">
        <v>82</v>
      </c>
      <c r="B1" s="443"/>
      <c r="C1" s="443"/>
      <c r="D1" s="443"/>
      <c r="E1" s="443"/>
      <c r="F1" s="443"/>
    </row>
    <row r="2" ht="14.65" customHeight="1" spans="1:6">
      <c r="A2" s="444" t="s">
        <v>83</v>
      </c>
      <c r="B2" s="444"/>
      <c r="C2" s="444"/>
      <c r="D2" s="444"/>
      <c r="E2" s="444"/>
      <c r="F2" s="444"/>
    </row>
    <row r="3" ht="14.65" customHeight="1" spans="1:6">
      <c r="A3" s="445"/>
      <c r="B3" s="445"/>
      <c r="C3" s="445"/>
      <c r="D3" s="445"/>
      <c r="E3" s="445"/>
      <c r="F3" s="445"/>
    </row>
    <row r="4" ht="14.65" customHeight="1" spans="1:6">
      <c r="A4" s="446"/>
      <c r="B4" s="446"/>
      <c r="C4" s="446"/>
      <c r="D4" s="446"/>
      <c r="E4" s="446"/>
      <c r="F4" s="446"/>
    </row>
    <row r="5" ht="38.25" spans="1:6">
      <c r="A5" s="447" t="s">
        <v>84</v>
      </c>
      <c r="B5" s="447" t="s">
        <v>85</v>
      </c>
      <c r="C5" s="447" t="s">
        <v>86</v>
      </c>
      <c r="D5" s="447" t="s">
        <v>87</v>
      </c>
      <c r="E5" s="448" t="s">
        <v>88</v>
      </c>
      <c r="F5" s="448" t="s">
        <v>89</v>
      </c>
    </row>
    <row r="6" spans="1:6">
      <c r="A6" s="449" t="s">
        <v>90</v>
      </c>
      <c r="B6" s="450" t="s">
        <v>91</v>
      </c>
      <c r="C6" s="450">
        <v>7</v>
      </c>
      <c r="D6" s="450">
        <f t="shared" ref="D6:D8" si="0">C6*12</f>
        <v>84</v>
      </c>
      <c r="E6" s="451">
        <v>6.73</v>
      </c>
      <c r="F6" s="452">
        <f t="shared" ref="F6:F8" si="1">D6*E6</f>
        <v>565.32</v>
      </c>
    </row>
    <row r="7" spans="1:6">
      <c r="A7" s="449" t="s">
        <v>92</v>
      </c>
      <c r="B7" s="450" t="s">
        <v>91</v>
      </c>
      <c r="C7" s="450">
        <v>12</v>
      </c>
      <c r="D7" s="450">
        <f t="shared" si="0"/>
        <v>144</v>
      </c>
      <c r="E7" s="451">
        <v>3.6</v>
      </c>
      <c r="F7" s="452">
        <f t="shared" si="1"/>
        <v>518.4</v>
      </c>
    </row>
    <row r="8" spans="1:6">
      <c r="A8" s="449" t="s">
        <v>93</v>
      </c>
      <c r="B8" s="450" t="s">
        <v>91</v>
      </c>
      <c r="C8" s="450">
        <v>10</v>
      </c>
      <c r="D8" s="450">
        <f t="shared" si="0"/>
        <v>120</v>
      </c>
      <c r="E8" s="451">
        <v>5.28</v>
      </c>
      <c r="F8" s="452">
        <f t="shared" si="1"/>
        <v>633.6</v>
      </c>
    </row>
    <row r="9" spans="1:6">
      <c r="A9" s="449" t="s">
        <v>94</v>
      </c>
      <c r="B9" s="453" t="s">
        <v>95</v>
      </c>
      <c r="C9" s="454">
        <v>70</v>
      </c>
      <c r="D9" s="450">
        <f t="shared" ref="D9:D39" si="2">C9*12</f>
        <v>840</v>
      </c>
      <c r="E9" s="451">
        <v>6.3</v>
      </c>
      <c r="F9" s="452">
        <f t="shared" ref="F9:F39" si="3">D9*E9</f>
        <v>5292</v>
      </c>
    </row>
    <row r="10" spans="1:6">
      <c r="A10" s="449" t="s">
        <v>96</v>
      </c>
      <c r="B10" s="453" t="s">
        <v>95</v>
      </c>
      <c r="C10" s="454">
        <v>10</v>
      </c>
      <c r="D10" s="450">
        <f t="shared" si="2"/>
        <v>120</v>
      </c>
      <c r="E10" s="451">
        <v>29.19</v>
      </c>
      <c r="F10" s="452">
        <f t="shared" si="3"/>
        <v>3502.8</v>
      </c>
    </row>
    <row r="11" spans="1:6">
      <c r="A11" s="455" t="s">
        <v>97</v>
      </c>
      <c r="B11" s="453" t="s">
        <v>95</v>
      </c>
      <c r="C11" s="454">
        <v>1</v>
      </c>
      <c r="D11" s="450">
        <f t="shared" si="2"/>
        <v>12</v>
      </c>
      <c r="E11" s="451">
        <v>50.86</v>
      </c>
      <c r="F11" s="452">
        <f t="shared" si="3"/>
        <v>610.32</v>
      </c>
    </row>
    <row r="12" spans="1:6">
      <c r="A12" s="449" t="s">
        <v>98</v>
      </c>
      <c r="B12" s="453" t="s">
        <v>99</v>
      </c>
      <c r="C12" s="454">
        <v>30</v>
      </c>
      <c r="D12" s="450">
        <f t="shared" si="2"/>
        <v>360</v>
      </c>
      <c r="E12" s="451">
        <v>4.45</v>
      </c>
      <c r="F12" s="452">
        <f t="shared" si="3"/>
        <v>1602</v>
      </c>
    </row>
    <row r="13" spans="1:6">
      <c r="A13" s="449" t="s">
        <v>100</v>
      </c>
      <c r="B13" s="453" t="s">
        <v>95</v>
      </c>
      <c r="C13" s="454">
        <v>60</v>
      </c>
      <c r="D13" s="450">
        <f t="shared" si="2"/>
        <v>720</v>
      </c>
      <c r="E13" s="451">
        <v>7.65</v>
      </c>
      <c r="F13" s="452">
        <f t="shared" si="3"/>
        <v>5508</v>
      </c>
    </row>
    <row r="14" spans="1:6">
      <c r="A14" s="449" t="s">
        <v>101</v>
      </c>
      <c r="B14" s="453" t="s">
        <v>99</v>
      </c>
      <c r="C14" s="454">
        <v>20</v>
      </c>
      <c r="D14" s="450">
        <f t="shared" si="2"/>
        <v>240</v>
      </c>
      <c r="E14" s="451">
        <v>1.69</v>
      </c>
      <c r="F14" s="452">
        <f t="shared" si="3"/>
        <v>405.6</v>
      </c>
    </row>
    <row r="15" ht="25.5" spans="1:6">
      <c r="A15" s="456" t="s">
        <v>102</v>
      </c>
      <c r="B15" s="450" t="s">
        <v>95</v>
      </c>
      <c r="C15" s="454">
        <v>40</v>
      </c>
      <c r="D15" s="450">
        <f t="shared" si="2"/>
        <v>480</v>
      </c>
      <c r="E15" s="451">
        <v>53.3</v>
      </c>
      <c r="F15" s="452">
        <f t="shared" si="3"/>
        <v>25584</v>
      </c>
    </row>
    <row r="16" spans="1:6">
      <c r="A16" s="455" t="s">
        <v>103</v>
      </c>
      <c r="B16" s="450" t="s">
        <v>99</v>
      </c>
      <c r="C16" s="454">
        <v>40</v>
      </c>
      <c r="D16" s="450">
        <f t="shared" si="2"/>
        <v>480</v>
      </c>
      <c r="E16" s="451">
        <v>5.47</v>
      </c>
      <c r="F16" s="452">
        <f t="shared" si="3"/>
        <v>2625.6</v>
      </c>
    </row>
    <row r="17" spans="1:6">
      <c r="A17" s="457" t="s">
        <v>104</v>
      </c>
      <c r="B17" s="450" t="s">
        <v>105</v>
      </c>
      <c r="C17" s="454">
        <v>20</v>
      </c>
      <c r="D17" s="450">
        <f t="shared" si="2"/>
        <v>240</v>
      </c>
      <c r="E17" s="451">
        <v>0.69</v>
      </c>
      <c r="F17" s="452">
        <f t="shared" si="3"/>
        <v>165.6</v>
      </c>
    </row>
    <row r="18" ht="25.5" spans="1:6">
      <c r="A18" s="456" t="s">
        <v>106</v>
      </c>
      <c r="B18" s="450" t="s">
        <v>107</v>
      </c>
      <c r="C18" s="454">
        <v>5</v>
      </c>
      <c r="D18" s="450">
        <f t="shared" si="2"/>
        <v>60</v>
      </c>
      <c r="E18" s="451">
        <v>1.97</v>
      </c>
      <c r="F18" s="452">
        <f t="shared" si="3"/>
        <v>118.2</v>
      </c>
    </row>
    <row r="19" spans="1:6">
      <c r="A19" s="455" t="s">
        <v>108</v>
      </c>
      <c r="B19" s="450" t="s">
        <v>105</v>
      </c>
      <c r="C19" s="454">
        <v>15</v>
      </c>
      <c r="D19" s="450">
        <f t="shared" si="2"/>
        <v>180</v>
      </c>
      <c r="E19" s="451">
        <v>1.54</v>
      </c>
      <c r="F19" s="452">
        <f t="shared" si="3"/>
        <v>277.2</v>
      </c>
    </row>
    <row r="20" ht="25.5" spans="1:6">
      <c r="A20" s="456" t="s">
        <v>109</v>
      </c>
      <c r="B20" s="450" t="s">
        <v>105</v>
      </c>
      <c r="C20" s="454">
        <v>1</v>
      </c>
      <c r="D20" s="450">
        <f t="shared" si="2"/>
        <v>12</v>
      </c>
      <c r="E20" s="451">
        <v>74.58</v>
      </c>
      <c r="F20" s="452">
        <f t="shared" si="3"/>
        <v>894.96</v>
      </c>
    </row>
    <row r="21" spans="1:6">
      <c r="A21" s="455" t="s">
        <v>110</v>
      </c>
      <c r="B21" s="450" t="s">
        <v>105</v>
      </c>
      <c r="C21" s="454">
        <v>50</v>
      </c>
      <c r="D21" s="450">
        <f t="shared" si="2"/>
        <v>600</v>
      </c>
      <c r="E21" s="451">
        <v>2.56</v>
      </c>
      <c r="F21" s="452">
        <f t="shared" si="3"/>
        <v>1536</v>
      </c>
    </row>
    <row r="22" spans="1:6">
      <c r="A22" s="455" t="s">
        <v>111</v>
      </c>
      <c r="B22" s="450" t="s">
        <v>105</v>
      </c>
      <c r="C22" s="454">
        <v>50</v>
      </c>
      <c r="D22" s="450">
        <f t="shared" si="2"/>
        <v>600</v>
      </c>
      <c r="E22" s="451">
        <v>6.54</v>
      </c>
      <c r="F22" s="452">
        <f t="shared" si="3"/>
        <v>3924</v>
      </c>
    </row>
    <row r="23" spans="1:6">
      <c r="A23" s="455" t="s">
        <v>112</v>
      </c>
      <c r="B23" s="450" t="s">
        <v>99</v>
      </c>
      <c r="C23" s="454">
        <v>10</v>
      </c>
      <c r="D23" s="450">
        <f t="shared" si="2"/>
        <v>120</v>
      </c>
      <c r="E23" s="451">
        <v>3.26</v>
      </c>
      <c r="F23" s="452">
        <f t="shared" si="3"/>
        <v>391.2</v>
      </c>
    </row>
    <row r="24" spans="1:6">
      <c r="A24" s="455" t="s">
        <v>113</v>
      </c>
      <c r="B24" s="450" t="s">
        <v>114</v>
      </c>
      <c r="C24" s="454">
        <v>50</v>
      </c>
      <c r="D24" s="450">
        <f t="shared" si="2"/>
        <v>600</v>
      </c>
      <c r="E24" s="451">
        <v>6.87</v>
      </c>
      <c r="F24" s="452">
        <f t="shared" si="3"/>
        <v>4122</v>
      </c>
    </row>
    <row r="25" ht="25.5" spans="1:6">
      <c r="A25" s="449" t="s">
        <v>115</v>
      </c>
      <c r="B25" s="453" t="s">
        <v>95</v>
      </c>
      <c r="C25" s="458">
        <v>2</v>
      </c>
      <c r="D25" s="450">
        <f t="shared" si="2"/>
        <v>24</v>
      </c>
      <c r="E25" s="451">
        <v>19.71</v>
      </c>
      <c r="F25" s="452">
        <f t="shared" si="3"/>
        <v>473.04</v>
      </c>
    </row>
    <row r="26" ht="38.25" spans="1:6">
      <c r="A26" s="449" t="s">
        <v>116</v>
      </c>
      <c r="B26" s="453" t="s">
        <v>95</v>
      </c>
      <c r="C26" s="458">
        <v>1</v>
      </c>
      <c r="D26" s="450">
        <f t="shared" si="2"/>
        <v>12</v>
      </c>
      <c r="E26" s="451">
        <v>31.73</v>
      </c>
      <c r="F26" s="452">
        <f t="shared" si="3"/>
        <v>380.76</v>
      </c>
    </row>
    <row r="27" ht="63.75" spans="1:6">
      <c r="A27" s="449" t="s">
        <v>117</v>
      </c>
      <c r="B27" s="453" t="s">
        <v>118</v>
      </c>
      <c r="C27" s="458">
        <v>1</v>
      </c>
      <c r="D27" s="450">
        <f t="shared" si="2"/>
        <v>12</v>
      </c>
      <c r="E27" s="451">
        <v>17.91</v>
      </c>
      <c r="F27" s="452">
        <f t="shared" si="3"/>
        <v>214.92</v>
      </c>
    </row>
    <row r="28" spans="1:6">
      <c r="A28" s="449" t="s">
        <v>119</v>
      </c>
      <c r="B28" s="453" t="s">
        <v>118</v>
      </c>
      <c r="C28" s="458">
        <v>4</v>
      </c>
      <c r="D28" s="450">
        <f t="shared" si="2"/>
        <v>48</v>
      </c>
      <c r="E28" s="451">
        <v>2.32</v>
      </c>
      <c r="F28" s="452">
        <f t="shared" si="3"/>
        <v>111.36</v>
      </c>
    </row>
    <row r="29" ht="25.5" spans="1:6">
      <c r="A29" s="449" t="s">
        <v>120</v>
      </c>
      <c r="B29" s="453" t="s">
        <v>118</v>
      </c>
      <c r="C29" s="458">
        <v>16</v>
      </c>
      <c r="D29" s="450">
        <f t="shared" si="2"/>
        <v>192</v>
      </c>
      <c r="E29" s="451">
        <v>9.63</v>
      </c>
      <c r="F29" s="452">
        <f t="shared" si="3"/>
        <v>1848.96</v>
      </c>
    </row>
    <row r="30" ht="25.5" spans="1:6">
      <c r="A30" s="449" t="s">
        <v>121</v>
      </c>
      <c r="B30" s="453" t="s">
        <v>122</v>
      </c>
      <c r="C30" s="458">
        <v>20</v>
      </c>
      <c r="D30" s="450">
        <f t="shared" si="2"/>
        <v>240</v>
      </c>
      <c r="E30" s="451">
        <v>22.39</v>
      </c>
      <c r="F30" s="452">
        <f t="shared" si="3"/>
        <v>5373.6</v>
      </c>
    </row>
    <row r="31" ht="25.5" spans="1:6">
      <c r="A31" s="449" t="s">
        <v>123</v>
      </c>
      <c r="B31" s="453" t="s">
        <v>122</v>
      </c>
      <c r="C31" s="458">
        <v>20</v>
      </c>
      <c r="D31" s="450">
        <f t="shared" si="2"/>
        <v>240</v>
      </c>
      <c r="E31" s="451">
        <v>22.39</v>
      </c>
      <c r="F31" s="452">
        <f t="shared" si="3"/>
        <v>5373.6</v>
      </c>
    </row>
    <row r="32" spans="1:6">
      <c r="A32" s="449" t="s">
        <v>124</v>
      </c>
      <c r="B32" s="453" t="s">
        <v>122</v>
      </c>
      <c r="C32" s="458">
        <v>60</v>
      </c>
      <c r="D32" s="450">
        <f t="shared" si="2"/>
        <v>720</v>
      </c>
      <c r="E32" s="451">
        <v>9.19</v>
      </c>
      <c r="F32" s="452">
        <f t="shared" si="3"/>
        <v>6616.8</v>
      </c>
    </row>
    <row r="33" ht="25.5" spans="1:6">
      <c r="A33" s="449" t="s">
        <v>125</v>
      </c>
      <c r="B33" s="453" t="s">
        <v>122</v>
      </c>
      <c r="C33" s="458">
        <v>60</v>
      </c>
      <c r="D33" s="450">
        <f t="shared" si="2"/>
        <v>720</v>
      </c>
      <c r="E33" s="451">
        <v>9.19</v>
      </c>
      <c r="F33" s="452">
        <f t="shared" si="3"/>
        <v>6616.8</v>
      </c>
    </row>
    <row r="34" spans="1:6">
      <c r="A34" s="449" t="s">
        <v>126</v>
      </c>
      <c r="B34" s="453" t="s">
        <v>127</v>
      </c>
      <c r="C34" s="458">
        <v>1</v>
      </c>
      <c r="D34" s="450">
        <f t="shared" si="2"/>
        <v>12</v>
      </c>
      <c r="E34" s="451">
        <v>1.68</v>
      </c>
      <c r="F34" s="452">
        <f t="shared" si="3"/>
        <v>20.16</v>
      </c>
    </row>
    <row r="35" ht="25.5" spans="1:6">
      <c r="A35" s="449" t="s">
        <v>128</v>
      </c>
      <c r="B35" s="450" t="s">
        <v>95</v>
      </c>
      <c r="C35" s="454">
        <v>4</v>
      </c>
      <c r="D35" s="450">
        <f t="shared" si="2"/>
        <v>48</v>
      </c>
      <c r="E35" s="451">
        <v>80</v>
      </c>
      <c r="F35" s="452">
        <f t="shared" si="3"/>
        <v>3840</v>
      </c>
    </row>
    <row r="36" ht="14.65" customHeight="1" spans="1:6">
      <c r="A36" s="459" t="s">
        <v>129</v>
      </c>
      <c r="B36" s="459"/>
      <c r="C36" s="459"/>
      <c r="D36" s="459"/>
      <c r="E36" s="459"/>
      <c r="F36" s="460">
        <f>SUM(F6:F35)</f>
        <v>89146.8</v>
      </c>
    </row>
    <row r="37" ht="14.65" customHeight="1" spans="1:6">
      <c r="A37" s="459" t="s">
        <v>130</v>
      </c>
      <c r="B37" s="459"/>
      <c r="C37" s="459"/>
      <c r="D37" s="459"/>
      <c r="E37" s="459"/>
      <c r="F37" s="460">
        <f>F36/12</f>
        <v>7428.9</v>
      </c>
    </row>
    <row r="38" s="439" customFormat="1" ht="12.75" spans="1:5">
      <c r="A38" s="461"/>
      <c r="B38" s="462"/>
      <c r="C38" s="462"/>
      <c r="D38" s="462"/>
      <c r="E38" s="463"/>
    </row>
    <row r="39" s="439" customFormat="1" ht="51.75" spans="1:6">
      <c r="A39" s="464" t="s">
        <v>131</v>
      </c>
      <c r="B39" s="447" t="s">
        <v>85</v>
      </c>
      <c r="C39" s="447" t="s">
        <v>86</v>
      </c>
      <c r="D39" s="447" t="s">
        <v>87</v>
      </c>
      <c r="E39" s="448" t="s">
        <v>88</v>
      </c>
      <c r="F39" s="448" t="s">
        <v>89</v>
      </c>
    </row>
    <row r="40" s="439" customFormat="1" ht="25.5" spans="1:6">
      <c r="A40" s="449" t="s">
        <v>132</v>
      </c>
      <c r="B40" s="453" t="s">
        <v>133</v>
      </c>
      <c r="C40" s="458">
        <v>3</v>
      </c>
      <c r="D40" s="454">
        <f t="shared" ref="D40:D43" si="4">C40*12</f>
        <v>36</v>
      </c>
      <c r="E40" s="451">
        <v>51.09</v>
      </c>
      <c r="F40" s="465">
        <f t="shared" ref="F40:F43" si="5">D40*E40</f>
        <v>1839.24</v>
      </c>
    </row>
    <row r="41" s="439" customFormat="1" ht="25.5" spans="1:6">
      <c r="A41" s="449" t="s">
        <v>134</v>
      </c>
      <c r="B41" s="453" t="s">
        <v>135</v>
      </c>
      <c r="C41" s="458">
        <v>50</v>
      </c>
      <c r="D41" s="454">
        <f t="shared" si="4"/>
        <v>600</v>
      </c>
      <c r="E41" s="451">
        <v>25.73</v>
      </c>
      <c r="F41" s="465">
        <f t="shared" si="5"/>
        <v>15438</v>
      </c>
    </row>
    <row r="42" s="439" customFormat="1" ht="38.25" spans="1:6">
      <c r="A42" s="449" t="s">
        <v>136</v>
      </c>
      <c r="B42" s="453" t="s">
        <v>137</v>
      </c>
      <c r="C42" s="458">
        <v>400</v>
      </c>
      <c r="D42" s="454">
        <f t="shared" si="4"/>
        <v>4800</v>
      </c>
      <c r="E42" s="451">
        <v>12.44</v>
      </c>
      <c r="F42" s="465">
        <f t="shared" si="5"/>
        <v>59712</v>
      </c>
    </row>
    <row r="43" s="439" customFormat="1" ht="12.75" spans="1:6">
      <c r="A43" s="457" t="s">
        <v>138</v>
      </c>
      <c r="B43" s="450" t="s">
        <v>95</v>
      </c>
      <c r="C43" s="458">
        <v>5</v>
      </c>
      <c r="D43" s="454">
        <f t="shared" si="4"/>
        <v>60</v>
      </c>
      <c r="E43" s="451">
        <v>13.55</v>
      </c>
      <c r="F43" s="465">
        <f t="shared" si="5"/>
        <v>813</v>
      </c>
    </row>
    <row r="44" s="439" customFormat="1" ht="14.65" customHeight="1" spans="1:6">
      <c r="A44" s="459" t="s">
        <v>139</v>
      </c>
      <c r="B44" s="459"/>
      <c r="C44" s="459"/>
      <c r="D44" s="459"/>
      <c r="E44" s="459"/>
      <c r="F44" s="466">
        <f>SUM(F40:F43)</f>
        <v>77802.24</v>
      </c>
    </row>
    <row r="45" s="439" customFormat="1" ht="14.65" customHeight="1" spans="1:6">
      <c r="A45" s="459" t="s">
        <v>140</v>
      </c>
      <c r="B45" s="459"/>
      <c r="C45" s="459"/>
      <c r="D45" s="459"/>
      <c r="E45" s="459">
        <f>F44*12</f>
        <v>933626.88</v>
      </c>
      <c r="F45" s="467">
        <f>F44/12</f>
        <v>6483.52</v>
      </c>
    </row>
    <row r="47" ht="72" customHeight="1" spans="1:7">
      <c r="A47" s="468" t="s">
        <v>141</v>
      </c>
      <c r="B47" s="447" t="s">
        <v>85</v>
      </c>
      <c r="C47" s="447" t="s">
        <v>142</v>
      </c>
      <c r="D47" s="447" t="s">
        <v>143</v>
      </c>
      <c r="E47" s="447" t="s">
        <v>87</v>
      </c>
      <c r="F47" s="448" t="s">
        <v>88</v>
      </c>
      <c r="G47" s="448" t="s">
        <v>89</v>
      </c>
    </row>
    <row r="48" spans="1:7">
      <c r="A48" s="449" t="s">
        <v>144</v>
      </c>
      <c r="B48" s="469" t="s">
        <v>145</v>
      </c>
      <c r="C48" s="470">
        <v>8</v>
      </c>
      <c r="D48" s="471">
        <v>12</v>
      </c>
      <c r="E48" s="472">
        <f t="shared" ref="E48:E75" si="6">12/D48*C48</f>
        <v>8</v>
      </c>
      <c r="F48" s="451">
        <v>3.97</v>
      </c>
      <c r="G48" s="473">
        <f t="shared" ref="G48:G75" si="7">E48*F48</f>
        <v>31.76</v>
      </c>
    </row>
    <row r="49" spans="1:7">
      <c r="A49" s="449" t="s">
        <v>146</v>
      </c>
      <c r="B49" s="469" t="s">
        <v>145</v>
      </c>
      <c r="C49" s="470">
        <v>20</v>
      </c>
      <c r="D49" s="471">
        <v>3</v>
      </c>
      <c r="E49" s="472">
        <f t="shared" si="6"/>
        <v>80</v>
      </c>
      <c r="F49" s="451">
        <v>4.69</v>
      </c>
      <c r="G49" s="473">
        <f t="shared" si="7"/>
        <v>375.2</v>
      </c>
    </row>
    <row r="50" spans="1:7">
      <c r="A50" s="474" t="s">
        <v>147</v>
      </c>
      <c r="B50" s="469" t="s">
        <v>145</v>
      </c>
      <c r="C50" s="470">
        <v>2</v>
      </c>
      <c r="D50" s="471">
        <v>6</v>
      </c>
      <c r="E50" s="472">
        <f t="shared" si="6"/>
        <v>4</v>
      </c>
      <c r="F50" s="451">
        <v>214.65</v>
      </c>
      <c r="G50" s="473">
        <f t="shared" si="7"/>
        <v>858.6</v>
      </c>
    </row>
    <row r="51" spans="1:7">
      <c r="A51" s="449" t="s">
        <v>148</v>
      </c>
      <c r="B51" s="469" t="s">
        <v>105</v>
      </c>
      <c r="C51" s="470">
        <v>2</v>
      </c>
      <c r="D51" s="471">
        <v>12</v>
      </c>
      <c r="E51" s="472">
        <f t="shared" si="6"/>
        <v>2</v>
      </c>
      <c r="F51" s="451">
        <v>35.08</v>
      </c>
      <c r="G51" s="473">
        <f t="shared" si="7"/>
        <v>70.16</v>
      </c>
    </row>
    <row r="52" spans="1:7">
      <c r="A52" s="475" t="s">
        <v>149</v>
      </c>
      <c r="B52" s="470" t="s">
        <v>145</v>
      </c>
      <c r="C52" s="470">
        <v>1</v>
      </c>
      <c r="D52" s="471">
        <v>12</v>
      </c>
      <c r="E52" s="472">
        <f t="shared" si="6"/>
        <v>1</v>
      </c>
      <c r="F52" s="451">
        <v>136.16</v>
      </c>
      <c r="G52" s="473">
        <f t="shared" si="7"/>
        <v>136.16</v>
      </c>
    </row>
    <row r="53" spans="1:7">
      <c r="A53" s="476" t="s">
        <v>150</v>
      </c>
      <c r="B53" s="470" t="s">
        <v>105</v>
      </c>
      <c r="C53" s="470">
        <v>7</v>
      </c>
      <c r="D53" s="477">
        <v>12</v>
      </c>
      <c r="E53" s="472">
        <f t="shared" si="6"/>
        <v>7</v>
      </c>
      <c r="F53" s="451">
        <v>5.86</v>
      </c>
      <c r="G53" s="473">
        <f t="shared" si="7"/>
        <v>41.02</v>
      </c>
    </row>
    <row r="54" spans="1:7">
      <c r="A54" s="476" t="s">
        <v>151</v>
      </c>
      <c r="B54" s="470" t="s">
        <v>105</v>
      </c>
      <c r="C54" s="470">
        <v>1</v>
      </c>
      <c r="D54" s="477">
        <v>12</v>
      </c>
      <c r="E54" s="472">
        <f t="shared" si="6"/>
        <v>1</v>
      </c>
      <c r="F54" s="451">
        <v>3.77</v>
      </c>
      <c r="G54" s="473">
        <f t="shared" si="7"/>
        <v>3.77</v>
      </c>
    </row>
    <row r="55" spans="1:7">
      <c r="A55" s="476" t="s">
        <v>152</v>
      </c>
      <c r="B55" s="470" t="s">
        <v>105</v>
      </c>
      <c r="C55" s="470">
        <v>7</v>
      </c>
      <c r="D55" s="477">
        <v>12</v>
      </c>
      <c r="E55" s="472">
        <f t="shared" si="6"/>
        <v>7</v>
      </c>
      <c r="F55" s="451">
        <v>36.47</v>
      </c>
      <c r="G55" s="473">
        <f t="shared" si="7"/>
        <v>255.29</v>
      </c>
    </row>
    <row r="56" ht="25.5" spans="1:7">
      <c r="A56" s="478" t="s">
        <v>153</v>
      </c>
      <c r="B56" s="470" t="s">
        <v>105</v>
      </c>
      <c r="C56" s="470">
        <v>20</v>
      </c>
      <c r="D56" s="471">
        <v>3</v>
      </c>
      <c r="E56" s="472">
        <f t="shared" si="6"/>
        <v>80</v>
      </c>
      <c r="F56" s="451">
        <v>15.36</v>
      </c>
      <c r="G56" s="473">
        <f t="shared" si="7"/>
        <v>1228.8</v>
      </c>
    </row>
    <row r="57" ht="25.5" spans="1:7">
      <c r="A57" s="479" t="s">
        <v>154</v>
      </c>
      <c r="B57" s="470" t="s">
        <v>105</v>
      </c>
      <c r="C57" s="470">
        <v>7</v>
      </c>
      <c r="D57" s="477">
        <v>3</v>
      </c>
      <c r="E57" s="472">
        <f t="shared" si="6"/>
        <v>28</v>
      </c>
      <c r="F57" s="451">
        <v>10.86</v>
      </c>
      <c r="G57" s="473">
        <f t="shared" si="7"/>
        <v>304.08</v>
      </c>
    </row>
    <row r="58" ht="25.5" spans="1:7">
      <c r="A58" s="479" t="s">
        <v>155</v>
      </c>
      <c r="B58" s="470" t="s">
        <v>105</v>
      </c>
      <c r="C58" s="470">
        <v>7</v>
      </c>
      <c r="D58" s="477">
        <v>12</v>
      </c>
      <c r="E58" s="472">
        <f t="shared" si="6"/>
        <v>7</v>
      </c>
      <c r="F58" s="451">
        <v>8.16</v>
      </c>
      <c r="G58" s="473">
        <f t="shared" si="7"/>
        <v>57.12</v>
      </c>
    </row>
    <row r="59" spans="1:7">
      <c r="A59" s="478" t="s">
        <v>156</v>
      </c>
      <c r="B59" s="470" t="s">
        <v>105</v>
      </c>
      <c r="C59" s="470">
        <v>15</v>
      </c>
      <c r="D59" s="471">
        <v>12</v>
      </c>
      <c r="E59" s="472">
        <f t="shared" si="6"/>
        <v>15</v>
      </c>
      <c r="F59" s="451">
        <v>5.33</v>
      </c>
      <c r="G59" s="473">
        <f t="shared" si="7"/>
        <v>79.95</v>
      </c>
    </row>
    <row r="60" ht="25.5" spans="1:7">
      <c r="A60" s="476" t="s">
        <v>157</v>
      </c>
      <c r="B60" s="470" t="s">
        <v>95</v>
      </c>
      <c r="C60" s="470">
        <v>1</v>
      </c>
      <c r="D60" s="477">
        <v>6</v>
      </c>
      <c r="E60" s="472">
        <f t="shared" si="6"/>
        <v>2</v>
      </c>
      <c r="F60" s="451">
        <v>22.16</v>
      </c>
      <c r="G60" s="473">
        <f t="shared" si="7"/>
        <v>44.32</v>
      </c>
    </row>
    <row r="61" ht="25.5" spans="1:7">
      <c r="A61" s="476" t="s">
        <v>158</v>
      </c>
      <c r="B61" s="470" t="s">
        <v>105</v>
      </c>
      <c r="C61" s="470">
        <v>3</v>
      </c>
      <c r="D61" s="477">
        <v>24</v>
      </c>
      <c r="E61" s="472">
        <f t="shared" si="6"/>
        <v>1.5</v>
      </c>
      <c r="F61" s="451">
        <v>319.6</v>
      </c>
      <c r="G61" s="473">
        <f t="shared" si="7"/>
        <v>479.4</v>
      </c>
    </row>
    <row r="62" spans="1:7">
      <c r="A62" s="476" t="s">
        <v>159</v>
      </c>
      <c r="B62" s="470" t="s">
        <v>105</v>
      </c>
      <c r="C62" s="470">
        <v>1</v>
      </c>
      <c r="D62" s="477">
        <v>12</v>
      </c>
      <c r="E62" s="472">
        <f t="shared" si="6"/>
        <v>1</v>
      </c>
      <c r="F62" s="451">
        <v>106.94</v>
      </c>
      <c r="G62" s="473">
        <f t="shared" si="7"/>
        <v>106.94</v>
      </c>
    </row>
    <row r="63" spans="1:7">
      <c r="A63" s="478" t="s">
        <v>160</v>
      </c>
      <c r="B63" s="470" t="s">
        <v>105</v>
      </c>
      <c r="C63" s="470">
        <v>1</v>
      </c>
      <c r="D63" s="471">
        <v>12</v>
      </c>
      <c r="E63" s="472">
        <f t="shared" si="6"/>
        <v>1</v>
      </c>
      <c r="F63" s="451">
        <v>30.34</v>
      </c>
      <c r="G63" s="473">
        <f t="shared" si="7"/>
        <v>30.34</v>
      </c>
    </row>
    <row r="64" spans="1:7">
      <c r="A64" s="478" t="s">
        <v>161</v>
      </c>
      <c r="B64" s="470" t="s">
        <v>105</v>
      </c>
      <c r="C64" s="470">
        <v>40</v>
      </c>
      <c r="D64" s="471">
        <v>12</v>
      </c>
      <c r="E64" s="472">
        <f t="shared" si="6"/>
        <v>40</v>
      </c>
      <c r="F64" s="451">
        <v>23.19</v>
      </c>
      <c r="G64" s="473">
        <f t="shared" si="7"/>
        <v>927.6</v>
      </c>
    </row>
    <row r="65" spans="1:7">
      <c r="A65" s="478" t="s">
        <v>162</v>
      </c>
      <c r="B65" s="470" t="s">
        <v>105</v>
      </c>
      <c r="C65" s="470">
        <v>100</v>
      </c>
      <c r="D65" s="471">
        <v>12</v>
      </c>
      <c r="E65" s="472">
        <f t="shared" si="6"/>
        <v>100</v>
      </c>
      <c r="F65" s="451">
        <v>30</v>
      </c>
      <c r="G65" s="473">
        <f t="shared" si="7"/>
        <v>3000</v>
      </c>
    </row>
    <row r="66" spans="1:7">
      <c r="A66" s="478" t="s">
        <v>163</v>
      </c>
      <c r="B66" s="470" t="s">
        <v>105</v>
      </c>
      <c r="C66" s="470">
        <v>40</v>
      </c>
      <c r="D66" s="471">
        <v>12</v>
      </c>
      <c r="E66" s="472">
        <f t="shared" si="6"/>
        <v>40</v>
      </c>
      <c r="F66" s="451">
        <v>18.68</v>
      </c>
      <c r="G66" s="473">
        <f t="shared" si="7"/>
        <v>747.2</v>
      </c>
    </row>
    <row r="67" spans="1:7">
      <c r="A67" s="478" t="s">
        <v>164</v>
      </c>
      <c r="B67" s="470" t="s">
        <v>105</v>
      </c>
      <c r="C67" s="470">
        <v>10</v>
      </c>
      <c r="D67" s="471">
        <v>12</v>
      </c>
      <c r="E67" s="472">
        <f t="shared" si="6"/>
        <v>10</v>
      </c>
      <c r="F67" s="451">
        <v>19.3</v>
      </c>
      <c r="G67" s="473">
        <f t="shared" si="7"/>
        <v>193</v>
      </c>
    </row>
    <row r="68" spans="1:7">
      <c r="A68" s="480" t="s">
        <v>165</v>
      </c>
      <c r="B68" s="470" t="s">
        <v>105</v>
      </c>
      <c r="C68" s="470">
        <v>5</v>
      </c>
      <c r="D68" s="477">
        <v>6</v>
      </c>
      <c r="E68" s="472">
        <f t="shared" si="6"/>
        <v>10</v>
      </c>
      <c r="F68" s="451">
        <v>67.77</v>
      </c>
      <c r="G68" s="473">
        <f t="shared" si="7"/>
        <v>677.7</v>
      </c>
    </row>
    <row r="69" ht="14.65" customHeight="1" spans="1:7">
      <c r="A69" s="481" t="s">
        <v>166</v>
      </c>
      <c r="B69" s="481"/>
      <c r="C69" s="481"/>
      <c r="D69" s="481"/>
      <c r="E69" s="481"/>
      <c r="F69" s="481"/>
      <c r="G69" s="482">
        <f>SUM(G48:G68)</f>
        <v>9648.41</v>
      </c>
    </row>
    <row r="70" ht="14.65" customHeight="1" spans="1:7">
      <c r="A70" s="481" t="s">
        <v>167</v>
      </c>
      <c r="B70" s="481"/>
      <c r="C70" s="481"/>
      <c r="D70" s="481"/>
      <c r="E70" s="481"/>
      <c r="F70" s="481"/>
      <c r="G70" s="483">
        <f>G69/12</f>
        <v>804.034166666667</v>
      </c>
    </row>
    <row r="72" ht="25.5" spans="1:7">
      <c r="A72" s="484" t="s">
        <v>168</v>
      </c>
      <c r="B72" s="447" t="s">
        <v>85</v>
      </c>
      <c r="C72" s="447" t="s">
        <v>142</v>
      </c>
      <c r="D72" s="447" t="s">
        <v>169</v>
      </c>
      <c r="E72" s="447" t="s">
        <v>87</v>
      </c>
      <c r="F72" s="448" t="s">
        <v>88</v>
      </c>
      <c r="G72" s="448" t="s">
        <v>89</v>
      </c>
    </row>
    <row r="73" spans="1:7">
      <c r="A73" s="485" t="s">
        <v>170</v>
      </c>
      <c r="B73" s="454" t="s">
        <v>105</v>
      </c>
      <c r="C73" s="454">
        <v>1</v>
      </c>
      <c r="D73" s="454">
        <v>60</v>
      </c>
      <c r="E73" s="472">
        <f>12/D73*C73</f>
        <v>0.2</v>
      </c>
      <c r="F73" s="451">
        <v>180.68</v>
      </c>
      <c r="G73" s="465">
        <f t="shared" ref="G73:G79" si="8">E73*F73</f>
        <v>36.136</v>
      </c>
    </row>
    <row r="74" spans="1:7">
      <c r="A74" s="485" t="s">
        <v>171</v>
      </c>
      <c r="B74" s="454" t="s">
        <v>105</v>
      </c>
      <c r="C74" s="454">
        <v>3</v>
      </c>
      <c r="D74" s="454">
        <v>60</v>
      </c>
      <c r="E74" s="472">
        <f>12/D74*C74</f>
        <v>0.6</v>
      </c>
      <c r="F74" s="451">
        <v>90.44</v>
      </c>
      <c r="G74" s="465">
        <f t="shared" si="8"/>
        <v>54.264</v>
      </c>
    </row>
    <row r="75" spans="1:7">
      <c r="A75" s="485" t="s">
        <v>172</v>
      </c>
      <c r="B75" s="454" t="s">
        <v>105</v>
      </c>
      <c r="C75" s="454">
        <v>2</v>
      </c>
      <c r="D75" s="454">
        <v>60</v>
      </c>
      <c r="E75" s="472">
        <f t="shared" ref="E75:E87" si="9">12/D75*C75</f>
        <v>0.4</v>
      </c>
      <c r="F75" s="451">
        <v>340.72</v>
      </c>
      <c r="G75" s="465">
        <f t="shared" si="8"/>
        <v>136.288</v>
      </c>
    </row>
    <row r="76" spans="1:7">
      <c r="A76" s="485" t="s">
        <v>173</v>
      </c>
      <c r="B76" s="454" t="s">
        <v>105</v>
      </c>
      <c r="C76" s="454">
        <v>1</v>
      </c>
      <c r="D76" s="454">
        <v>60</v>
      </c>
      <c r="E76" s="472">
        <f t="shared" si="9"/>
        <v>0.2</v>
      </c>
      <c r="F76" s="451">
        <v>322</v>
      </c>
      <c r="G76" s="465">
        <f t="shared" si="8"/>
        <v>64.4</v>
      </c>
    </row>
    <row r="77" spans="1:7">
      <c r="A77" s="457" t="s">
        <v>174</v>
      </c>
      <c r="B77" s="450" t="s">
        <v>105</v>
      </c>
      <c r="C77" s="450">
        <v>1</v>
      </c>
      <c r="D77" s="454">
        <v>60</v>
      </c>
      <c r="E77" s="472">
        <f t="shared" si="9"/>
        <v>0.2</v>
      </c>
      <c r="F77" s="451">
        <v>346.24</v>
      </c>
      <c r="G77" s="465">
        <f t="shared" si="8"/>
        <v>69.248</v>
      </c>
    </row>
    <row r="78" spans="1:7">
      <c r="A78" s="457" t="s">
        <v>175</v>
      </c>
      <c r="B78" s="450" t="s">
        <v>105</v>
      </c>
      <c r="C78" s="450">
        <v>1</v>
      </c>
      <c r="D78" s="454">
        <v>60</v>
      </c>
      <c r="E78" s="472">
        <f t="shared" si="9"/>
        <v>0.2</v>
      </c>
      <c r="F78" s="451">
        <v>794.17</v>
      </c>
      <c r="G78" s="465">
        <f t="shared" si="8"/>
        <v>158.834</v>
      </c>
    </row>
    <row r="79" spans="1:7">
      <c r="A79" s="457" t="s">
        <v>176</v>
      </c>
      <c r="B79" s="450" t="s">
        <v>105</v>
      </c>
      <c r="C79" s="450">
        <v>10</v>
      </c>
      <c r="D79" s="454">
        <v>60</v>
      </c>
      <c r="E79" s="472">
        <f t="shared" si="9"/>
        <v>2</v>
      </c>
      <c r="F79" s="451">
        <v>842.25</v>
      </c>
      <c r="G79" s="465">
        <f t="shared" ref="G79:G87" si="10">E79*F79</f>
        <v>1684.5</v>
      </c>
    </row>
    <row r="80" spans="1:7">
      <c r="A80" s="457" t="s">
        <v>177</v>
      </c>
      <c r="B80" s="450" t="s">
        <v>105</v>
      </c>
      <c r="C80" s="450">
        <v>1</v>
      </c>
      <c r="D80" s="454">
        <v>60</v>
      </c>
      <c r="E80" s="472">
        <f t="shared" si="9"/>
        <v>0.2</v>
      </c>
      <c r="F80" s="451">
        <v>925.9</v>
      </c>
      <c r="G80" s="465">
        <f t="shared" si="10"/>
        <v>185.18</v>
      </c>
    </row>
    <row r="81" spans="1:7">
      <c r="A81" s="457" t="s">
        <v>178</v>
      </c>
      <c r="B81" s="450" t="s">
        <v>105</v>
      </c>
      <c r="C81" s="450">
        <v>1</v>
      </c>
      <c r="D81" s="454">
        <v>60</v>
      </c>
      <c r="E81" s="472">
        <f t="shared" si="9"/>
        <v>0.2</v>
      </c>
      <c r="F81" s="451">
        <v>985</v>
      </c>
      <c r="G81" s="465">
        <f t="shared" si="10"/>
        <v>197</v>
      </c>
    </row>
    <row r="82" ht="51" spans="1:7">
      <c r="A82" s="457" t="s">
        <v>179</v>
      </c>
      <c r="B82" s="450" t="s">
        <v>105</v>
      </c>
      <c r="C82" s="450">
        <v>1</v>
      </c>
      <c r="D82" s="454">
        <v>60</v>
      </c>
      <c r="E82" s="472">
        <f t="shared" si="9"/>
        <v>0.2</v>
      </c>
      <c r="F82" s="451">
        <v>14742.5</v>
      </c>
      <c r="G82" s="465">
        <f t="shared" si="10"/>
        <v>2948.5</v>
      </c>
    </row>
    <row r="83" ht="38.25" spans="1:7">
      <c r="A83" s="457" t="s">
        <v>180</v>
      </c>
      <c r="B83" s="450" t="s">
        <v>105</v>
      </c>
      <c r="C83" s="450">
        <v>1</v>
      </c>
      <c r="D83" s="454">
        <v>60</v>
      </c>
      <c r="E83" s="472">
        <f t="shared" si="9"/>
        <v>0.2</v>
      </c>
      <c r="F83" s="451">
        <v>7508.99</v>
      </c>
      <c r="G83" s="465">
        <f t="shared" si="10"/>
        <v>1501.798</v>
      </c>
    </row>
    <row r="84" ht="38.25" spans="1:7">
      <c r="A84" s="457" t="s">
        <v>181</v>
      </c>
      <c r="B84" s="450" t="s">
        <v>105</v>
      </c>
      <c r="C84" s="450">
        <v>4</v>
      </c>
      <c r="D84" s="454">
        <v>60</v>
      </c>
      <c r="E84" s="472">
        <f t="shared" si="9"/>
        <v>0.8</v>
      </c>
      <c r="F84" s="451">
        <v>1617.6</v>
      </c>
      <c r="G84" s="465">
        <f t="shared" si="10"/>
        <v>1294.08</v>
      </c>
    </row>
    <row r="85" ht="38.25" spans="1:7">
      <c r="A85" s="457" t="s">
        <v>182</v>
      </c>
      <c r="B85" s="450" t="s">
        <v>105</v>
      </c>
      <c r="C85" s="450">
        <v>1</v>
      </c>
      <c r="D85" s="454">
        <v>60</v>
      </c>
      <c r="E85" s="472">
        <f t="shared" si="9"/>
        <v>0.2</v>
      </c>
      <c r="F85" s="451">
        <v>5618.21</v>
      </c>
      <c r="G85" s="465">
        <f t="shared" si="10"/>
        <v>1123.642</v>
      </c>
    </row>
    <row r="86" spans="1:7">
      <c r="A86" s="457" t="s">
        <v>183</v>
      </c>
      <c r="B86" s="450" t="s">
        <v>105</v>
      </c>
      <c r="C86" s="450">
        <v>10</v>
      </c>
      <c r="D86" s="454">
        <v>60</v>
      </c>
      <c r="E86" s="472">
        <f t="shared" si="9"/>
        <v>2</v>
      </c>
      <c r="F86" s="451">
        <v>558</v>
      </c>
      <c r="G86" s="465">
        <f t="shared" si="10"/>
        <v>1116</v>
      </c>
    </row>
    <row r="87" ht="38.25" spans="1:7">
      <c r="A87" s="456" t="s">
        <v>184</v>
      </c>
      <c r="B87" s="450" t="s">
        <v>105</v>
      </c>
      <c r="C87" s="450">
        <v>1</v>
      </c>
      <c r="D87" s="454">
        <v>60</v>
      </c>
      <c r="E87" s="472">
        <f t="shared" si="9"/>
        <v>0.2</v>
      </c>
      <c r="F87" s="451">
        <v>133</v>
      </c>
      <c r="G87" s="465">
        <f t="shared" si="10"/>
        <v>26.6</v>
      </c>
    </row>
    <row r="88" spans="1:7">
      <c r="A88" s="481" t="s">
        <v>185</v>
      </c>
      <c r="B88" s="481"/>
      <c r="C88" s="481"/>
      <c r="D88" s="481"/>
      <c r="E88" s="481"/>
      <c r="F88" s="481"/>
      <c r="G88" s="467">
        <f>SUM(G73:G87)</f>
        <v>10596.47</v>
      </c>
    </row>
    <row r="89" spans="1:7">
      <c r="A89" s="481" t="s">
        <v>186</v>
      </c>
      <c r="B89" s="481"/>
      <c r="C89" s="481"/>
      <c r="D89" s="481"/>
      <c r="E89" s="481"/>
      <c r="F89" s="481"/>
      <c r="G89" s="467">
        <f>G88/12</f>
        <v>883.039166666667</v>
      </c>
    </row>
    <row r="91" ht="25.5" spans="1:6">
      <c r="A91" s="486" t="s">
        <v>187</v>
      </c>
      <c r="B91" s="447" t="s">
        <v>85</v>
      </c>
      <c r="C91" s="447" t="s">
        <v>87</v>
      </c>
      <c r="D91" s="448" t="s">
        <v>88</v>
      </c>
      <c r="E91" s="448" t="s">
        <v>89</v>
      </c>
      <c r="F91" s="440"/>
    </row>
    <row r="92" spans="1:6">
      <c r="A92" s="485" t="s">
        <v>188</v>
      </c>
      <c r="B92" s="454" t="s">
        <v>189</v>
      </c>
      <c r="C92" s="458">
        <v>2</v>
      </c>
      <c r="D92" s="451">
        <v>46.46</v>
      </c>
      <c r="E92" s="487">
        <f>C92*D92</f>
        <v>92.92</v>
      </c>
      <c r="F92" s="440"/>
    </row>
    <row r="93" spans="1:6">
      <c r="A93" s="485" t="s">
        <v>190</v>
      </c>
      <c r="B93" s="454" t="s">
        <v>189</v>
      </c>
      <c r="C93" s="458">
        <v>2</v>
      </c>
      <c r="D93" s="451">
        <v>14.46</v>
      </c>
      <c r="E93" s="487">
        <f t="shared" ref="E93:E104" si="11">C93*D93</f>
        <v>28.92</v>
      </c>
      <c r="F93" s="440"/>
    </row>
    <row r="94" ht="25.5" spans="1:6">
      <c r="A94" s="485" t="s">
        <v>191</v>
      </c>
      <c r="B94" s="454" t="s">
        <v>192</v>
      </c>
      <c r="C94" s="458">
        <v>2</v>
      </c>
      <c r="D94" s="451">
        <v>63.44</v>
      </c>
      <c r="E94" s="487">
        <f t="shared" si="11"/>
        <v>126.88</v>
      </c>
      <c r="F94" s="440"/>
    </row>
    <row r="95" spans="1:6">
      <c r="A95" s="485" t="s">
        <v>193</v>
      </c>
      <c r="B95" s="454" t="s">
        <v>189</v>
      </c>
      <c r="C95" s="458">
        <v>1</v>
      </c>
      <c r="D95" s="451">
        <v>127.17</v>
      </c>
      <c r="E95" s="487">
        <f t="shared" si="11"/>
        <v>127.17</v>
      </c>
      <c r="F95" s="440"/>
    </row>
    <row r="96" spans="1:6">
      <c r="A96" s="485" t="s">
        <v>194</v>
      </c>
      <c r="B96" s="454" t="s">
        <v>189</v>
      </c>
      <c r="C96" s="458">
        <v>2</v>
      </c>
      <c r="D96" s="451">
        <v>31.63</v>
      </c>
      <c r="E96" s="487">
        <f t="shared" si="11"/>
        <v>63.26</v>
      </c>
      <c r="F96" s="440"/>
    </row>
    <row r="97" spans="1:6">
      <c r="A97" s="485" t="s">
        <v>195</v>
      </c>
      <c r="B97" s="454" t="s">
        <v>192</v>
      </c>
      <c r="C97" s="458">
        <v>1</v>
      </c>
      <c r="D97" s="451">
        <v>22.7</v>
      </c>
      <c r="E97" s="487">
        <f t="shared" si="11"/>
        <v>22.7</v>
      </c>
      <c r="F97" s="440"/>
    </row>
    <row r="98" spans="1:6">
      <c r="A98" s="485" t="s">
        <v>196</v>
      </c>
      <c r="B98" s="454" t="s">
        <v>105</v>
      </c>
      <c r="C98" s="458">
        <v>1</v>
      </c>
      <c r="D98" s="451">
        <v>6.45</v>
      </c>
      <c r="E98" s="487">
        <f t="shared" si="11"/>
        <v>6.45</v>
      </c>
      <c r="F98" s="440"/>
    </row>
    <row r="99" spans="1:6">
      <c r="A99" s="485" t="s">
        <v>197</v>
      </c>
      <c r="B99" s="454" t="s">
        <v>105</v>
      </c>
      <c r="C99" s="458">
        <v>1</v>
      </c>
      <c r="D99" s="451">
        <v>14.5</v>
      </c>
      <c r="E99" s="487">
        <f t="shared" si="11"/>
        <v>14.5</v>
      </c>
      <c r="F99" s="440"/>
    </row>
    <row r="100" spans="1:6">
      <c r="A100" s="485" t="s">
        <v>198</v>
      </c>
      <c r="B100" s="454" t="s">
        <v>199</v>
      </c>
      <c r="C100" s="458">
        <v>24</v>
      </c>
      <c r="D100" s="451">
        <v>3.45</v>
      </c>
      <c r="E100" s="487">
        <f t="shared" si="11"/>
        <v>82.8</v>
      </c>
      <c r="F100" s="440"/>
    </row>
    <row r="101" spans="1:6">
      <c r="A101" s="485" t="s">
        <v>200</v>
      </c>
      <c r="B101" s="454" t="s">
        <v>199</v>
      </c>
      <c r="C101" s="458">
        <v>24</v>
      </c>
      <c r="D101" s="451">
        <v>7.27</v>
      </c>
      <c r="E101" s="487">
        <f t="shared" si="11"/>
        <v>174.48</v>
      </c>
      <c r="F101" s="440"/>
    </row>
    <row r="102" spans="1:6">
      <c r="A102" s="485" t="s">
        <v>201</v>
      </c>
      <c r="B102" s="454" t="s">
        <v>105</v>
      </c>
      <c r="C102" s="458">
        <v>12</v>
      </c>
      <c r="D102" s="451">
        <v>1.11</v>
      </c>
      <c r="E102" s="487">
        <f t="shared" si="11"/>
        <v>13.32</v>
      </c>
      <c r="F102" s="440"/>
    </row>
    <row r="103" spans="1:6">
      <c r="A103" s="485" t="s">
        <v>202</v>
      </c>
      <c r="B103" s="454" t="s">
        <v>105</v>
      </c>
      <c r="C103" s="458">
        <v>1</v>
      </c>
      <c r="D103" s="451">
        <v>2.36</v>
      </c>
      <c r="E103" s="487">
        <f t="shared" si="11"/>
        <v>2.36</v>
      </c>
      <c r="F103" s="440"/>
    </row>
    <row r="104" spans="1:6">
      <c r="A104" s="485" t="s">
        <v>203</v>
      </c>
      <c r="B104" s="454" t="s">
        <v>105</v>
      </c>
      <c r="C104" s="458">
        <v>1</v>
      </c>
      <c r="D104" s="451">
        <v>0.82</v>
      </c>
      <c r="E104" s="487">
        <f t="shared" si="11"/>
        <v>0.82</v>
      </c>
      <c r="F104" s="440"/>
    </row>
    <row r="105" spans="1:6">
      <c r="A105" s="481" t="s">
        <v>204</v>
      </c>
      <c r="B105" s="481"/>
      <c r="C105" s="481"/>
      <c r="D105" s="481"/>
      <c r="E105" s="483">
        <f>SUM(E92:E104)</f>
        <v>756.58</v>
      </c>
      <c r="F105" s="440"/>
    </row>
    <row r="106" spans="1:6">
      <c r="A106" s="481" t="s">
        <v>205</v>
      </c>
      <c r="B106" s="481"/>
      <c r="C106" s="481"/>
      <c r="D106" s="481"/>
      <c r="E106" s="483">
        <f>E105/12</f>
        <v>63.0483333333333</v>
      </c>
      <c r="F106" s="488"/>
    </row>
    <row r="108" ht="38.85" customHeight="1" spans="1:8">
      <c r="A108" s="489" t="s">
        <v>206</v>
      </c>
      <c r="B108" s="489" t="s">
        <v>207</v>
      </c>
      <c r="C108" s="489"/>
      <c r="D108" s="489" t="s">
        <v>208</v>
      </c>
      <c r="E108" s="489"/>
      <c r="F108" s="484" t="s">
        <v>209</v>
      </c>
      <c r="G108" s="484"/>
      <c r="H108" s="484"/>
    </row>
    <row r="109" ht="14.65" customHeight="1" spans="1:8">
      <c r="A109" s="490" t="s">
        <v>210</v>
      </c>
      <c r="B109" s="491">
        <f>F36</f>
        <v>89146.8</v>
      </c>
      <c r="C109" s="491">
        <f t="shared" ref="C109:C112" si="12">SUM(B109:B109)</f>
        <v>89146.8</v>
      </c>
      <c r="D109" s="491">
        <f t="shared" ref="D109:D112" si="13">B109/12</f>
        <v>7428.9</v>
      </c>
      <c r="E109" s="491"/>
      <c r="F109" s="492">
        <f>D109/H120</f>
        <v>463.647493102409</v>
      </c>
      <c r="G109" s="492"/>
      <c r="H109" s="492"/>
    </row>
    <row r="110" spans="1:8">
      <c r="A110" s="490" t="s">
        <v>211</v>
      </c>
      <c r="B110" s="491">
        <f>F44</f>
        <v>77802.24</v>
      </c>
      <c r="C110" s="491">
        <f t="shared" si="12"/>
        <v>77802.24</v>
      </c>
      <c r="D110" s="491">
        <f t="shared" si="13"/>
        <v>6483.52</v>
      </c>
      <c r="E110" s="491"/>
      <c r="F110" s="492">
        <f>D110/H120</f>
        <v>404.645074570842</v>
      </c>
      <c r="G110" s="492"/>
      <c r="H110" s="492"/>
    </row>
    <row r="111" ht="14.65" customHeight="1" spans="1:8">
      <c r="A111" s="490" t="s">
        <v>212</v>
      </c>
      <c r="B111" s="491">
        <f>G69</f>
        <v>9648.41</v>
      </c>
      <c r="C111" s="491">
        <f t="shared" si="12"/>
        <v>9648.41</v>
      </c>
      <c r="D111" s="491">
        <f t="shared" si="13"/>
        <v>804.034166666667</v>
      </c>
      <c r="E111" s="491"/>
      <c r="F111" s="492">
        <f>D111/H120</f>
        <v>50.1808377745944</v>
      </c>
      <c r="G111" s="492"/>
      <c r="H111" s="492"/>
    </row>
    <row r="112" spans="1:9">
      <c r="A112" s="467" t="s">
        <v>213</v>
      </c>
      <c r="B112" s="493">
        <f>SUM(B109:B111)</f>
        <v>176597.45</v>
      </c>
      <c r="C112" s="493">
        <f t="shared" si="12"/>
        <v>176597.45</v>
      </c>
      <c r="D112" s="493">
        <f t="shared" si="13"/>
        <v>14716.4541666667</v>
      </c>
      <c r="E112" s="493"/>
      <c r="F112" s="494">
        <f>F109+F110+F111</f>
        <v>918.473405447845</v>
      </c>
      <c r="G112" s="494"/>
      <c r="H112" s="494"/>
      <c r="I112" s="504"/>
    </row>
    <row r="113" spans="1:9">
      <c r="A113" s="495"/>
      <c r="B113" s="495"/>
      <c r="C113" s="495"/>
      <c r="D113" s="495"/>
      <c r="E113" s="495"/>
      <c r="F113" s="492"/>
      <c r="G113" s="492"/>
      <c r="H113" s="492"/>
      <c r="I113" s="504"/>
    </row>
    <row r="114" spans="1:9">
      <c r="A114" s="467" t="s">
        <v>168</v>
      </c>
      <c r="B114" s="493">
        <f>G88</f>
        <v>10596.47</v>
      </c>
      <c r="C114" s="493"/>
      <c r="D114" s="493">
        <f t="shared" ref="D114:D118" si="14">B114/12</f>
        <v>883.039166666667</v>
      </c>
      <c r="E114" s="493"/>
      <c r="F114" s="494">
        <f>D114/H120</f>
        <v>55.1116445148326</v>
      </c>
      <c r="G114" s="494"/>
      <c r="H114" s="494"/>
      <c r="I114" s="504"/>
    </row>
    <row r="115" spans="1:9">
      <c r="A115" s="496"/>
      <c r="B115" s="496"/>
      <c r="C115" s="496"/>
      <c r="D115" s="496"/>
      <c r="E115" s="496"/>
      <c r="F115" s="492"/>
      <c r="G115" s="492"/>
      <c r="H115" s="492"/>
      <c r="I115" s="504"/>
    </row>
    <row r="116" spans="1:9">
      <c r="A116" s="467" t="s">
        <v>214</v>
      </c>
      <c r="B116" s="493">
        <f>E105</f>
        <v>756.58</v>
      </c>
      <c r="C116" s="493"/>
      <c r="D116" s="493">
        <f t="shared" si="14"/>
        <v>63.0483333333333</v>
      </c>
      <c r="E116" s="493"/>
      <c r="F116" s="494">
        <f>D116</f>
        <v>63.0483333333333</v>
      </c>
      <c r="G116" s="494"/>
      <c r="H116" s="494"/>
      <c r="I116" s="504"/>
    </row>
    <row r="117" spans="1:9">
      <c r="A117" s="496"/>
      <c r="B117" s="496"/>
      <c r="C117" s="496"/>
      <c r="D117" s="496"/>
      <c r="E117" s="496"/>
      <c r="F117" s="492"/>
      <c r="G117" s="492"/>
      <c r="H117" s="492"/>
      <c r="I117" s="504"/>
    </row>
    <row r="118" spans="1:9">
      <c r="A118" s="467" t="s">
        <v>215</v>
      </c>
      <c r="B118" s="497">
        <f>B112+B114+B116</f>
        <v>187950.5</v>
      </c>
      <c r="C118" s="497"/>
      <c r="D118" s="497">
        <f t="shared" si="14"/>
        <v>15662.5416666667</v>
      </c>
      <c r="E118" s="497"/>
      <c r="F118" s="498">
        <f>F112+F114+F116</f>
        <v>1036.63338329601</v>
      </c>
      <c r="G118" s="498"/>
      <c r="H118" s="498"/>
      <c r="I118" s="504"/>
    </row>
    <row r="119" spans="1:6">
      <c r="A119" s="499"/>
      <c r="B119" s="500"/>
      <c r="C119" s="500"/>
      <c r="D119" s="500"/>
      <c r="E119" s="500"/>
      <c r="F119" s="488"/>
    </row>
    <row r="120" ht="31.35" customHeight="1" spans="1:8">
      <c r="A120" s="501" t="s">
        <v>216</v>
      </c>
      <c r="B120" s="501"/>
      <c r="C120" s="501"/>
      <c r="D120" s="501"/>
      <c r="E120" s="501"/>
      <c r="F120" s="501"/>
      <c r="G120" s="501"/>
      <c r="H120" s="502">
        <f>'Qtd postos 20%'!L23+'Qtd postos 40%'!L24</f>
        <v>16.0227330256677</v>
      </c>
    </row>
    <row r="122" ht="29.85" customHeight="1" spans="1:8">
      <c r="A122" s="503" t="s">
        <v>217</v>
      </c>
      <c r="B122" s="503"/>
      <c r="C122" s="503"/>
      <c r="D122" s="503"/>
      <c r="E122" s="503"/>
      <c r="F122" s="503"/>
      <c r="G122" s="503"/>
      <c r="H122" s="503"/>
    </row>
    <row r="123" ht="29.85" customHeight="1" spans="1:8">
      <c r="A123" s="503" t="s">
        <v>218</v>
      </c>
      <c r="B123" s="503"/>
      <c r="C123" s="503"/>
      <c r="D123" s="503"/>
      <c r="E123" s="503"/>
      <c r="F123" s="503"/>
      <c r="G123" s="503"/>
      <c r="H123" s="503"/>
    </row>
    <row r="124" ht="29.85" customHeight="1" spans="1:8">
      <c r="A124" s="503" t="s">
        <v>219</v>
      </c>
      <c r="B124" s="503"/>
      <c r="C124" s="503"/>
      <c r="D124" s="503"/>
      <c r="E124" s="503"/>
      <c r="F124" s="503"/>
      <c r="G124" s="503"/>
      <c r="H124" s="503"/>
    </row>
  </sheetData>
  <mergeCells count="47">
    <mergeCell ref="A1:F1"/>
    <mergeCell ref="A2:F2"/>
    <mergeCell ref="A4:F4"/>
    <mergeCell ref="A36:E36"/>
    <mergeCell ref="A37:E37"/>
    <mergeCell ref="A44:E44"/>
    <mergeCell ref="A45:E45"/>
    <mergeCell ref="A69:F69"/>
    <mergeCell ref="A70:F70"/>
    <mergeCell ref="A88:F88"/>
    <mergeCell ref="A89:F89"/>
    <mergeCell ref="A105:D105"/>
    <mergeCell ref="A106:D106"/>
    <mergeCell ref="B108:C108"/>
    <mergeCell ref="D108:E108"/>
    <mergeCell ref="F108:H108"/>
    <mergeCell ref="B109:C109"/>
    <mergeCell ref="D109:E109"/>
    <mergeCell ref="F109:H109"/>
    <mergeCell ref="B110:C110"/>
    <mergeCell ref="D110:E110"/>
    <mergeCell ref="F110:H110"/>
    <mergeCell ref="B111:C111"/>
    <mergeCell ref="D111:E111"/>
    <mergeCell ref="F111:H111"/>
    <mergeCell ref="B112:C112"/>
    <mergeCell ref="D112:E112"/>
    <mergeCell ref="F112:H112"/>
    <mergeCell ref="A113:E113"/>
    <mergeCell ref="F113:H113"/>
    <mergeCell ref="B114:C114"/>
    <mergeCell ref="D114:E114"/>
    <mergeCell ref="F114:H114"/>
    <mergeCell ref="A115:E115"/>
    <mergeCell ref="F115:H115"/>
    <mergeCell ref="B116:C116"/>
    <mergeCell ref="D116:E116"/>
    <mergeCell ref="F116:H116"/>
    <mergeCell ref="A117:E117"/>
    <mergeCell ref="F117:H117"/>
    <mergeCell ref="B118:C118"/>
    <mergeCell ref="D118:E118"/>
    <mergeCell ref="F118:H118"/>
    <mergeCell ref="A120:G120"/>
    <mergeCell ref="A122:H122"/>
    <mergeCell ref="A123:H123"/>
    <mergeCell ref="A124:H124"/>
  </mergeCells>
  <printOptions horizontalCentered="1"/>
  <pageMargins left="0.393055555555556" right="0.393055555555556" top="0.786805555555556" bottom="0.786805555555556" header="0.786805555555556" footer="0.786805555555556"/>
  <pageSetup paperSize="9" scale="68" orientation="portrait" horizontalDpi="300" verticalDpi="300"/>
  <headerFooter alignWithMargins="0"/>
  <rowBreaks count="1" manualBreakCount="1">
    <brk id="70" max="16383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-0.249977111117893"/>
  </sheetPr>
  <dimension ref="A1:S44"/>
  <sheetViews>
    <sheetView showGridLines="0" topLeftCell="A11" workbookViewId="0">
      <selection activeCell="E18" sqref="E18"/>
    </sheetView>
  </sheetViews>
  <sheetFormatPr defaultColWidth="9" defaultRowHeight="12.75"/>
  <cols>
    <col min="1" max="1" width="26.1428571428571" style="393" customWidth="1"/>
    <col min="2" max="2" width="20" style="393" customWidth="1"/>
    <col min="3" max="3" width="12" style="393" customWidth="1"/>
    <col min="4" max="4" width="12.2857142857143" style="393" customWidth="1"/>
    <col min="5" max="5" width="12.8571428571429" style="390" customWidth="1"/>
    <col min="6" max="6" width="12.8571428571429" style="393" customWidth="1"/>
    <col min="7" max="7" width="11" style="390" customWidth="1"/>
    <col min="8" max="8" width="13.5714285714286" style="390" customWidth="1"/>
    <col min="9" max="9" width="5.85714285714286" style="393" customWidth="1"/>
    <col min="10" max="10" width="11.2857142857143" style="393" customWidth="1"/>
    <col min="11" max="11" width="3" style="393" customWidth="1"/>
    <col min="12" max="12" width="6.57142857142857" style="393" customWidth="1"/>
    <col min="13" max="13" width="2.42857142857143" style="393" customWidth="1"/>
    <col min="14" max="14" width="11.1428571428571" style="393" customWidth="1"/>
    <col min="15" max="15" width="10" style="393" customWidth="1"/>
    <col min="16" max="16" width="9.57142857142857" style="393" customWidth="1"/>
    <col min="17" max="17" width="11.7142857142857" style="393" customWidth="1"/>
    <col min="18" max="256" width="9.14285714285714" style="393"/>
    <col min="257" max="257" width="26.1428571428571" style="393" customWidth="1"/>
    <col min="258" max="258" width="20" style="393" customWidth="1"/>
    <col min="259" max="259" width="12" style="393" customWidth="1"/>
    <col min="260" max="260" width="12.2857142857143" style="393" customWidth="1"/>
    <col min="261" max="262" width="12.8571428571429" style="393" customWidth="1"/>
    <col min="263" max="263" width="11" style="393" customWidth="1"/>
    <col min="264" max="264" width="13.5714285714286" style="393" customWidth="1"/>
    <col min="265" max="265" width="5.85714285714286" style="393" customWidth="1"/>
    <col min="266" max="266" width="11.2857142857143" style="393" customWidth="1"/>
    <col min="267" max="267" width="3" style="393" customWidth="1"/>
    <col min="268" max="268" width="6.57142857142857" style="393" customWidth="1"/>
    <col min="269" max="269" width="2.42857142857143" style="393" customWidth="1"/>
    <col min="270" max="270" width="11.1428571428571" style="393" customWidth="1"/>
    <col min="271" max="271" width="10" style="393" customWidth="1"/>
    <col min="272" max="272" width="9.57142857142857" style="393" customWidth="1"/>
    <col min="273" max="273" width="11.7142857142857" style="393" customWidth="1"/>
    <col min="274" max="512" width="9.14285714285714" style="393"/>
    <col min="513" max="513" width="26.1428571428571" style="393" customWidth="1"/>
    <col min="514" max="514" width="20" style="393" customWidth="1"/>
    <col min="515" max="515" width="12" style="393" customWidth="1"/>
    <col min="516" max="516" width="12.2857142857143" style="393" customWidth="1"/>
    <col min="517" max="518" width="12.8571428571429" style="393" customWidth="1"/>
    <col min="519" max="519" width="11" style="393" customWidth="1"/>
    <col min="520" max="520" width="13.5714285714286" style="393" customWidth="1"/>
    <col min="521" max="521" width="5.85714285714286" style="393" customWidth="1"/>
    <col min="522" max="522" width="11.2857142857143" style="393" customWidth="1"/>
    <col min="523" max="523" width="3" style="393" customWidth="1"/>
    <col min="524" max="524" width="6.57142857142857" style="393" customWidth="1"/>
    <col min="525" max="525" width="2.42857142857143" style="393" customWidth="1"/>
    <col min="526" max="526" width="11.1428571428571" style="393" customWidth="1"/>
    <col min="527" max="527" width="10" style="393" customWidth="1"/>
    <col min="528" max="528" width="9.57142857142857" style="393" customWidth="1"/>
    <col min="529" max="529" width="11.7142857142857" style="393" customWidth="1"/>
    <col min="530" max="768" width="9.14285714285714" style="393"/>
    <col min="769" max="769" width="26.1428571428571" style="393" customWidth="1"/>
    <col min="770" max="770" width="20" style="393" customWidth="1"/>
    <col min="771" max="771" width="12" style="393" customWidth="1"/>
    <col min="772" max="772" width="12.2857142857143" style="393" customWidth="1"/>
    <col min="773" max="774" width="12.8571428571429" style="393" customWidth="1"/>
    <col min="775" max="775" width="11" style="393" customWidth="1"/>
    <col min="776" max="776" width="13.5714285714286" style="393" customWidth="1"/>
    <col min="777" max="777" width="5.85714285714286" style="393" customWidth="1"/>
    <col min="778" max="778" width="11.2857142857143" style="393" customWidth="1"/>
    <col min="779" max="779" width="3" style="393" customWidth="1"/>
    <col min="780" max="780" width="6.57142857142857" style="393" customWidth="1"/>
    <col min="781" max="781" width="2.42857142857143" style="393" customWidth="1"/>
    <col min="782" max="782" width="11.1428571428571" style="393" customWidth="1"/>
    <col min="783" max="783" width="10" style="393" customWidth="1"/>
    <col min="784" max="784" width="9.57142857142857" style="393" customWidth="1"/>
    <col min="785" max="785" width="11.7142857142857" style="393" customWidth="1"/>
    <col min="786" max="1024" width="9.14285714285714" style="393"/>
    <col min="1025" max="1025" width="26.1428571428571" style="393" customWidth="1"/>
    <col min="1026" max="1026" width="20" style="393" customWidth="1"/>
    <col min="1027" max="1027" width="12" style="393" customWidth="1"/>
    <col min="1028" max="1028" width="12.2857142857143" style="393" customWidth="1"/>
    <col min="1029" max="1030" width="12.8571428571429" style="393" customWidth="1"/>
    <col min="1031" max="1031" width="11" style="393" customWidth="1"/>
    <col min="1032" max="1032" width="13.5714285714286" style="393" customWidth="1"/>
    <col min="1033" max="1033" width="5.85714285714286" style="393" customWidth="1"/>
    <col min="1034" max="1034" width="11.2857142857143" style="393" customWidth="1"/>
    <col min="1035" max="1035" width="3" style="393" customWidth="1"/>
    <col min="1036" max="1036" width="6.57142857142857" style="393" customWidth="1"/>
    <col min="1037" max="1037" width="2.42857142857143" style="393" customWidth="1"/>
    <col min="1038" max="1038" width="11.1428571428571" style="393" customWidth="1"/>
    <col min="1039" max="1039" width="10" style="393" customWidth="1"/>
    <col min="1040" max="1040" width="9.57142857142857" style="393" customWidth="1"/>
    <col min="1041" max="1041" width="11.7142857142857" style="393" customWidth="1"/>
    <col min="1042" max="1280" width="9.14285714285714" style="393"/>
    <col min="1281" max="1281" width="26.1428571428571" style="393" customWidth="1"/>
    <col min="1282" max="1282" width="20" style="393" customWidth="1"/>
    <col min="1283" max="1283" width="12" style="393" customWidth="1"/>
    <col min="1284" max="1284" width="12.2857142857143" style="393" customWidth="1"/>
    <col min="1285" max="1286" width="12.8571428571429" style="393" customWidth="1"/>
    <col min="1287" max="1287" width="11" style="393" customWidth="1"/>
    <col min="1288" max="1288" width="13.5714285714286" style="393" customWidth="1"/>
    <col min="1289" max="1289" width="5.85714285714286" style="393" customWidth="1"/>
    <col min="1290" max="1290" width="11.2857142857143" style="393" customWidth="1"/>
    <col min="1291" max="1291" width="3" style="393" customWidth="1"/>
    <col min="1292" max="1292" width="6.57142857142857" style="393" customWidth="1"/>
    <col min="1293" max="1293" width="2.42857142857143" style="393" customWidth="1"/>
    <col min="1294" max="1294" width="11.1428571428571" style="393" customWidth="1"/>
    <col min="1295" max="1295" width="10" style="393" customWidth="1"/>
    <col min="1296" max="1296" width="9.57142857142857" style="393" customWidth="1"/>
    <col min="1297" max="1297" width="11.7142857142857" style="393" customWidth="1"/>
    <col min="1298" max="1536" width="9.14285714285714" style="393"/>
    <col min="1537" max="1537" width="26.1428571428571" style="393" customWidth="1"/>
    <col min="1538" max="1538" width="20" style="393" customWidth="1"/>
    <col min="1539" max="1539" width="12" style="393" customWidth="1"/>
    <col min="1540" max="1540" width="12.2857142857143" style="393" customWidth="1"/>
    <col min="1541" max="1542" width="12.8571428571429" style="393" customWidth="1"/>
    <col min="1543" max="1543" width="11" style="393" customWidth="1"/>
    <col min="1544" max="1544" width="13.5714285714286" style="393" customWidth="1"/>
    <col min="1545" max="1545" width="5.85714285714286" style="393" customWidth="1"/>
    <col min="1546" max="1546" width="11.2857142857143" style="393" customWidth="1"/>
    <col min="1547" max="1547" width="3" style="393" customWidth="1"/>
    <col min="1548" max="1548" width="6.57142857142857" style="393" customWidth="1"/>
    <col min="1549" max="1549" width="2.42857142857143" style="393" customWidth="1"/>
    <col min="1550" max="1550" width="11.1428571428571" style="393" customWidth="1"/>
    <col min="1551" max="1551" width="10" style="393" customWidth="1"/>
    <col min="1552" max="1552" width="9.57142857142857" style="393" customWidth="1"/>
    <col min="1553" max="1553" width="11.7142857142857" style="393" customWidth="1"/>
    <col min="1554" max="1792" width="9.14285714285714" style="393"/>
    <col min="1793" max="1793" width="26.1428571428571" style="393" customWidth="1"/>
    <col min="1794" max="1794" width="20" style="393" customWidth="1"/>
    <col min="1795" max="1795" width="12" style="393" customWidth="1"/>
    <col min="1796" max="1796" width="12.2857142857143" style="393" customWidth="1"/>
    <col min="1797" max="1798" width="12.8571428571429" style="393" customWidth="1"/>
    <col min="1799" max="1799" width="11" style="393" customWidth="1"/>
    <col min="1800" max="1800" width="13.5714285714286" style="393" customWidth="1"/>
    <col min="1801" max="1801" width="5.85714285714286" style="393" customWidth="1"/>
    <col min="1802" max="1802" width="11.2857142857143" style="393" customWidth="1"/>
    <col min="1803" max="1803" width="3" style="393" customWidth="1"/>
    <col min="1804" max="1804" width="6.57142857142857" style="393" customWidth="1"/>
    <col min="1805" max="1805" width="2.42857142857143" style="393" customWidth="1"/>
    <col min="1806" max="1806" width="11.1428571428571" style="393" customWidth="1"/>
    <col min="1807" max="1807" width="10" style="393" customWidth="1"/>
    <col min="1808" max="1808" width="9.57142857142857" style="393" customWidth="1"/>
    <col min="1809" max="1809" width="11.7142857142857" style="393" customWidth="1"/>
    <col min="1810" max="2048" width="9.14285714285714" style="393"/>
    <col min="2049" max="2049" width="26.1428571428571" style="393" customWidth="1"/>
    <col min="2050" max="2050" width="20" style="393" customWidth="1"/>
    <col min="2051" max="2051" width="12" style="393" customWidth="1"/>
    <col min="2052" max="2052" width="12.2857142857143" style="393" customWidth="1"/>
    <col min="2053" max="2054" width="12.8571428571429" style="393" customWidth="1"/>
    <col min="2055" max="2055" width="11" style="393" customWidth="1"/>
    <col min="2056" max="2056" width="13.5714285714286" style="393" customWidth="1"/>
    <col min="2057" max="2057" width="5.85714285714286" style="393" customWidth="1"/>
    <col min="2058" max="2058" width="11.2857142857143" style="393" customWidth="1"/>
    <col min="2059" max="2059" width="3" style="393" customWidth="1"/>
    <col min="2060" max="2060" width="6.57142857142857" style="393" customWidth="1"/>
    <col min="2061" max="2061" width="2.42857142857143" style="393" customWidth="1"/>
    <col min="2062" max="2062" width="11.1428571428571" style="393" customWidth="1"/>
    <col min="2063" max="2063" width="10" style="393" customWidth="1"/>
    <col min="2064" max="2064" width="9.57142857142857" style="393" customWidth="1"/>
    <col min="2065" max="2065" width="11.7142857142857" style="393" customWidth="1"/>
    <col min="2066" max="2304" width="9.14285714285714" style="393"/>
    <col min="2305" max="2305" width="26.1428571428571" style="393" customWidth="1"/>
    <col min="2306" max="2306" width="20" style="393" customWidth="1"/>
    <col min="2307" max="2307" width="12" style="393" customWidth="1"/>
    <col min="2308" max="2308" width="12.2857142857143" style="393" customWidth="1"/>
    <col min="2309" max="2310" width="12.8571428571429" style="393" customWidth="1"/>
    <col min="2311" max="2311" width="11" style="393" customWidth="1"/>
    <col min="2312" max="2312" width="13.5714285714286" style="393" customWidth="1"/>
    <col min="2313" max="2313" width="5.85714285714286" style="393" customWidth="1"/>
    <col min="2314" max="2314" width="11.2857142857143" style="393" customWidth="1"/>
    <col min="2315" max="2315" width="3" style="393" customWidth="1"/>
    <col min="2316" max="2316" width="6.57142857142857" style="393" customWidth="1"/>
    <col min="2317" max="2317" width="2.42857142857143" style="393" customWidth="1"/>
    <col min="2318" max="2318" width="11.1428571428571" style="393" customWidth="1"/>
    <col min="2319" max="2319" width="10" style="393" customWidth="1"/>
    <col min="2320" max="2320" width="9.57142857142857" style="393" customWidth="1"/>
    <col min="2321" max="2321" width="11.7142857142857" style="393" customWidth="1"/>
    <col min="2322" max="2560" width="9.14285714285714" style="393"/>
    <col min="2561" max="2561" width="26.1428571428571" style="393" customWidth="1"/>
    <col min="2562" max="2562" width="20" style="393" customWidth="1"/>
    <col min="2563" max="2563" width="12" style="393" customWidth="1"/>
    <col min="2564" max="2564" width="12.2857142857143" style="393" customWidth="1"/>
    <col min="2565" max="2566" width="12.8571428571429" style="393" customWidth="1"/>
    <col min="2567" max="2567" width="11" style="393" customWidth="1"/>
    <col min="2568" max="2568" width="13.5714285714286" style="393" customWidth="1"/>
    <col min="2569" max="2569" width="5.85714285714286" style="393" customWidth="1"/>
    <col min="2570" max="2570" width="11.2857142857143" style="393" customWidth="1"/>
    <col min="2571" max="2571" width="3" style="393" customWidth="1"/>
    <col min="2572" max="2572" width="6.57142857142857" style="393" customWidth="1"/>
    <col min="2573" max="2573" width="2.42857142857143" style="393" customWidth="1"/>
    <col min="2574" max="2574" width="11.1428571428571" style="393" customWidth="1"/>
    <col min="2575" max="2575" width="10" style="393" customWidth="1"/>
    <col min="2576" max="2576" width="9.57142857142857" style="393" customWidth="1"/>
    <col min="2577" max="2577" width="11.7142857142857" style="393" customWidth="1"/>
    <col min="2578" max="2816" width="9.14285714285714" style="393"/>
    <col min="2817" max="2817" width="26.1428571428571" style="393" customWidth="1"/>
    <col min="2818" max="2818" width="20" style="393" customWidth="1"/>
    <col min="2819" max="2819" width="12" style="393" customWidth="1"/>
    <col min="2820" max="2820" width="12.2857142857143" style="393" customWidth="1"/>
    <col min="2821" max="2822" width="12.8571428571429" style="393" customWidth="1"/>
    <col min="2823" max="2823" width="11" style="393" customWidth="1"/>
    <col min="2824" max="2824" width="13.5714285714286" style="393" customWidth="1"/>
    <col min="2825" max="2825" width="5.85714285714286" style="393" customWidth="1"/>
    <col min="2826" max="2826" width="11.2857142857143" style="393" customWidth="1"/>
    <col min="2827" max="2827" width="3" style="393" customWidth="1"/>
    <col min="2828" max="2828" width="6.57142857142857" style="393" customWidth="1"/>
    <col min="2829" max="2829" width="2.42857142857143" style="393" customWidth="1"/>
    <col min="2830" max="2830" width="11.1428571428571" style="393" customWidth="1"/>
    <col min="2831" max="2831" width="10" style="393" customWidth="1"/>
    <col min="2832" max="2832" width="9.57142857142857" style="393" customWidth="1"/>
    <col min="2833" max="2833" width="11.7142857142857" style="393" customWidth="1"/>
    <col min="2834" max="3072" width="9.14285714285714" style="393"/>
    <col min="3073" max="3073" width="26.1428571428571" style="393" customWidth="1"/>
    <col min="3074" max="3074" width="20" style="393" customWidth="1"/>
    <col min="3075" max="3075" width="12" style="393" customWidth="1"/>
    <col min="3076" max="3076" width="12.2857142857143" style="393" customWidth="1"/>
    <col min="3077" max="3078" width="12.8571428571429" style="393" customWidth="1"/>
    <col min="3079" max="3079" width="11" style="393" customWidth="1"/>
    <col min="3080" max="3080" width="13.5714285714286" style="393" customWidth="1"/>
    <col min="3081" max="3081" width="5.85714285714286" style="393" customWidth="1"/>
    <col min="3082" max="3082" width="11.2857142857143" style="393" customWidth="1"/>
    <col min="3083" max="3083" width="3" style="393" customWidth="1"/>
    <col min="3084" max="3084" width="6.57142857142857" style="393" customWidth="1"/>
    <col min="3085" max="3085" width="2.42857142857143" style="393" customWidth="1"/>
    <col min="3086" max="3086" width="11.1428571428571" style="393" customWidth="1"/>
    <col min="3087" max="3087" width="10" style="393" customWidth="1"/>
    <col min="3088" max="3088" width="9.57142857142857" style="393" customWidth="1"/>
    <col min="3089" max="3089" width="11.7142857142857" style="393" customWidth="1"/>
    <col min="3090" max="3328" width="9.14285714285714" style="393"/>
    <col min="3329" max="3329" width="26.1428571428571" style="393" customWidth="1"/>
    <col min="3330" max="3330" width="20" style="393" customWidth="1"/>
    <col min="3331" max="3331" width="12" style="393" customWidth="1"/>
    <col min="3332" max="3332" width="12.2857142857143" style="393" customWidth="1"/>
    <col min="3333" max="3334" width="12.8571428571429" style="393" customWidth="1"/>
    <col min="3335" max="3335" width="11" style="393" customWidth="1"/>
    <col min="3336" max="3336" width="13.5714285714286" style="393" customWidth="1"/>
    <col min="3337" max="3337" width="5.85714285714286" style="393" customWidth="1"/>
    <col min="3338" max="3338" width="11.2857142857143" style="393" customWidth="1"/>
    <col min="3339" max="3339" width="3" style="393" customWidth="1"/>
    <col min="3340" max="3340" width="6.57142857142857" style="393" customWidth="1"/>
    <col min="3341" max="3341" width="2.42857142857143" style="393" customWidth="1"/>
    <col min="3342" max="3342" width="11.1428571428571" style="393" customWidth="1"/>
    <col min="3343" max="3343" width="10" style="393" customWidth="1"/>
    <col min="3344" max="3344" width="9.57142857142857" style="393" customWidth="1"/>
    <col min="3345" max="3345" width="11.7142857142857" style="393" customWidth="1"/>
    <col min="3346" max="3584" width="9.14285714285714" style="393"/>
    <col min="3585" max="3585" width="26.1428571428571" style="393" customWidth="1"/>
    <col min="3586" max="3586" width="20" style="393" customWidth="1"/>
    <col min="3587" max="3587" width="12" style="393" customWidth="1"/>
    <col min="3588" max="3588" width="12.2857142857143" style="393" customWidth="1"/>
    <col min="3589" max="3590" width="12.8571428571429" style="393" customWidth="1"/>
    <col min="3591" max="3591" width="11" style="393" customWidth="1"/>
    <col min="3592" max="3592" width="13.5714285714286" style="393" customWidth="1"/>
    <col min="3593" max="3593" width="5.85714285714286" style="393" customWidth="1"/>
    <col min="3594" max="3594" width="11.2857142857143" style="393" customWidth="1"/>
    <col min="3595" max="3595" width="3" style="393" customWidth="1"/>
    <col min="3596" max="3596" width="6.57142857142857" style="393" customWidth="1"/>
    <col min="3597" max="3597" width="2.42857142857143" style="393" customWidth="1"/>
    <col min="3598" max="3598" width="11.1428571428571" style="393" customWidth="1"/>
    <col min="3599" max="3599" width="10" style="393" customWidth="1"/>
    <col min="3600" max="3600" width="9.57142857142857" style="393" customWidth="1"/>
    <col min="3601" max="3601" width="11.7142857142857" style="393" customWidth="1"/>
    <col min="3602" max="3840" width="9.14285714285714" style="393"/>
    <col min="3841" max="3841" width="26.1428571428571" style="393" customWidth="1"/>
    <col min="3842" max="3842" width="20" style="393" customWidth="1"/>
    <col min="3843" max="3843" width="12" style="393" customWidth="1"/>
    <col min="3844" max="3844" width="12.2857142857143" style="393" customWidth="1"/>
    <col min="3845" max="3846" width="12.8571428571429" style="393" customWidth="1"/>
    <col min="3847" max="3847" width="11" style="393" customWidth="1"/>
    <col min="3848" max="3848" width="13.5714285714286" style="393" customWidth="1"/>
    <col min="3849" max="3849" width="5.85714285714286" style="393" customWidth="1"/>
    <col min="3850" max="3850" width="11.2857142857143" style="393" customWidth="1"/>
    <col min="3851" max="3851" width="3" style="393" customWidth="1"/>
    <col min="3852" max="3852" width="6.57142857142857" style="393" customWidth="1"/>
    <col min="3853" max="3853" width="2.42857142857143" style="393" customWidth="1"/>
    <col min="3854" max="3854" width="11.1428571428571" style="393" customWidth="1"/>
    <col min="3855" max="3855" width="10" style="393" customWidth="1"/>
    <col min="3856" max="3856" width="9.57142857142857" style="393" customWidth="1"/>
    <col min="3857" max="3857" width="11.7142857142857" style="393" customWidth="1"/>
    <col min="3858" max="4096" width="9.14285714285714" style="393"/>
    <col min="4097" max="4097" width="26.1428571428571" style="393" customWidth="1"/>
    <col min="4098" max="4098" width="20" style="393" customWidth="1"/>
    <col min="4099" max="4099" width="12" style="393" customWidth="1"/>
    <col min="4100" max="4100" width="12.2857142857143" style="393" customWidth="1"/>
    <col min="4101" max="4102" width="12.8571428571429" style="393" customWidth="1"/>
    <col min="4103" max="4103" width="11" style="393" customWidth="1"/>
    <col min="4104" max="4104" width="13.5714285714286" style="393" customWidth="1"/>
    <col min="4105" max="4105" width="5.85714285714286" style="393" customWidth="1"/>
    <col min="4106" max="4106" width="11.2857142857143" style="393" customWidth="1"/>
    <col min="4107" max="4107" width="3" style="393" customWidth="1"/>
    <col min="4108" max="4108" width="6.57142857142857" style="393" customWidth="1"/>
    <col min="4109" max="4109" width="2.42857142857143" style="393" customWidth="1"/>
    <col min="4110" max="4110" width="11.1428571428571" style="393" customWidth="1"/>
    <col min="4111" max="4111" width="10" style="393" customWidth="1"/>
    <col min="4112" max="4112" width="9.57142857142857" style="393" customWidth="1"/>
    <col min="4113" max="4113" width="11.7142857142857" style="393" customWidth="1"/>
    <col min="4114" max="4352" width="9.14285714285714" style="393"/>
    <col min="4353" max="4353" width="26.1428571428571" style="393" customWidth="1"/>
    <col min="4354" max="4354" width="20" style="393" customWidth="1"/>
    <col min="4355" max="4355" width="12" style="393" customWidth="1"/>
    <col min="4356" max="4356" width="12.2857142857143" style="393" customWidth="1"/>
    <col min="4357" max="4358" width="12.8571428571429" style="393" customWidth="1"/>
    <col min="4359" max="4359" width="11" style="393" customWidth="1"/>
    <col min="4360" max="4360" width="13.5714285714286" style="393" customWidth="1"/>
    <col min="4361" max="4361" width="5.85714285714286" style="393" customWidth="1"/>
    <col min="4362" max="4362" width="11.2857142857143" style="393" customWidth="1"/>
    <col min="4363" max="4363" width="3" style="393" customWidth="1"/>
    <col min="4364" max="4364" width="6.57142857142857" style="393" customWidth="1"/>
    <col min="4365" max="4365" width="2.42857142857143" style="393" customWidth="1"/>
    <col min="4366" max="4366" width="11.1428571428571" style="393" customWidth="1"/>
    <col min="4367" max="4367" width="10" style="393" customWidth="1"/>
    <col min="4368" max="4368" width="9.57142857142857" style="393" customWidth="1"/>
    <col min="4369" max="4369" width="11.7142857142857" style="393" customWidth="1"/>
    <col min="4370" max="4608" width="9.14285714285714" style="393"/>
    <col min="4609" max="4609" width="26.1428571428571" style="393" customWidth="1"/>
    <col min="4610" max="4610" width="20" style="393" customWidth="1"/>
    <col min="4611" max="4611" width="12" style="393" customWidth="1"/>
    <col min="4612" max="4612" width="12.2857142857143" style="393" customWidth="1"/>
    <col min="4613" max="4614" width="12.8571428571429" style="393" customWidth="1"/>
    <col min="4615" max="4615" width="11" style="393" customWidth="1"/>
    <col min="4616" max="4616" width="13.5714285714286" style="393" customWidth="1"/>
    <col min="4617" max="4617" width="5.85714285714286" style="393" customWidth="1"/>
    <col min="4618" max="4618" width="11.2857142857143" style="393" customWidth="1"/>
    <col min="4619" max="4619" width="3" style="393" customWidth="1"/>
    <col min="4620" max="4620" width="6.57142857142857" style="393" customWidth="1"/>
    <col min="4621" max="4621" width="2.42857142857143" style="393" customWidth="1"/>
    <col min="4622" max="4622" width="11.1428571428571" style="393" customWidth="1"/>
    <col min="4623" max="4623" width="10" style="393" customWidth="1"/>
    <col min="4624" max="4624" width="9.57142857142857" style="393" customWidth="1"/>
    <col min="4625" max="4625" width="11.7142857142857" style="393" customWidth="1"/>
    <col min="4626" max="4864" width="9.14285714285714" style="393"/>
    <col min="4865" max="4865" width="26.1428571428571" style="393" customWidth="1"/>
    <col min="4866" max="4866" width="20" style="393" customWidth="1"/>
    <col min="4867" max="4867" width="12" style="393" customWidth="1"/>
    <col min="4868" max="4868" width="12.2857142857143" style="393" customWidth="1"/>
    <col min="4869" max="4870" width="12.8571428571429" style="393" customWidth="1"/>
    <col min="4871" max="4871" width="11" style="393" customWidth="1"/>
    <col min="4872" max="4872" width="13.5714285714286" style="393" customWidth="1"/>
    <col min="4873" max="4873" width="5.85714285714286" style="393" customWidth="1"/>
    <col min="4874" max="4874" width="11.2857142857143" style="393" customWidth="1"/>
    <col min="4875" max="4875" width="3" style="393" customWidth="1"/>
    <col min="4876" max="4876" width="6.57142857142857" style="393" customWidth="1"/>
    <col min="4877" max="4877" width="2.42857142857143" style="393" customWidth="1"/>
    <col min="4878" max="4878" width="11.1428571428571" style="393" customWidth="1"/>
    <col min="4879" max="4879" width="10" style="393" customWidth="1"/>
    <col min="4880" max="4880" width="9.57142857142857" style="393" customWidth="1"/>
    <col min="4881" max="4881" width="11.7142857142857" style="393" customWidth="1"/>
    <col min="4882" max="5120" width="9.14285714285714" style="393"/>
    <col min="5121" max="5121" width="26.1428571428571" style="393" customWidth="1"/>
    <col min="5122" max="5122" width="20" style="393" customWidth="1"/>
    <col min="5123" max="5123" width="12" style="393" customWidth="1"/>
    <col min="5124" max="5124" width="12.2857142857143" style="393" customWidth="1"/>
    <col min="5125" max="5126" width="12.8571428571429" style="393" customWidth="1"/>
    <col min="5127" max="5127" width="11" style="393" customWidth="1"/>
    <col min="5128" max="5128" width="13.5714285714286" style="393" customWidth="1"/>
    <col min="5129" max="5129" width="5.85714285714286" style="393" customWidth="1"/>
    <col min="5130" max="5130" width="11.2857142857143" style="393" customWidth="1"/>
    <col min="5131" max="5131" width="3" style="393" customWidth="1"/>
    <col min="5132" max="5132" width="6.57142857142857" style="393" customWidth="1"/>
    <col min="5133" max="5133" width="2.42857142857143" style="393" customWidth="1"/>
    <col min="5134" max="5134" width="11.1428571428571" style="393" customWidth="1"/>
    <col min="5135" max="5135" width="10" style="393" customWidth="1"/>
    <col min="5136" max="5136" width="9.57142857142857" style="393" customWidth="1"/>
    <col min="5137" max="5137" width="11.7142857142857" style="393" customWidth="1"/>
    <col min="5138" max="5376" width="9.14285714285714" style="393"/>
    <col min="5377" max="5377" width="26.1428571428571" style="393" customWidth="1"/>
    <col min="5378" max="5378" width="20" style="393" customWidth="1"/>
    <col min="5379" max="5379" width="12" style="393" customWidth="1"/>
    <col min="5380" max="5380" width="12.2857142857143" style="393" customWidth="1"/>
    <col min="5381" max="5382" width="12.8571428571429" style="393" customWidth="1"/>
    <col min="5383" max="5383" width="11" style="393" customWidth="1"/>
    <col min="5384" max="5384" width="13.5714285714286" style="393" customWidth="1"/>
    <col min="5385" max="5385" width="5.85714285714286" style="393" customWidth="1"/>
    <col min="5386" max="5386" width="11.2857142857143" style="393" customWidth="1"/>
    <col min="5387" max="5387" width="3" style="393" customWidth="1"/>
    <col min="5388" max="5388" width="6.57142857142857" style="393" customWidth="1"/>
    <col min="5389" max="5389" width="2.42857142857143" style="393" customWidth="1"/>
    <col min="5390" max="5390" width="11.1428571428571" style="393" customWidth="1"/>
    <col min="5391" max="5391" width="10" style="393" customWidth="1"/>
    <col min="5392" max="5392" width="9.57142857142857" style="393" customWidth="1"/>
    <col min="5393" max="5393" width="11.7142857142857" style="393" customWidth="1"/>
    <col min="5394" max="5632" width="9.14285714285714" style="393"/>
    <col min="5633" max="5633" width="26.1428571428571" style="393" customWidth="1"/>
    <col min="5634" max="5634" width="20" style="393" customWidth="1"/>
    <col min="5635" max="5635" width="12" style="393" customWidth="1"/>
    <col min="5636" max="5636" width="12.2857142857143" style="393" customWidth="1"/>
    <col min="5637" max="5638" width="12.8571428571429" style="393" customWidth="1"/>
    <col min="5639" max="5639" width="11" style="393" customWidth="1"/>
    <col min="5640" max="5640" width="13.5714285714286" style="393" customWidth="1"/>
    <col min="5641" max="5641" width="5.85714285714286" style="393" customWidth="1"/>
    <col min="5642" max="5642" width="11.2857142857143" style="393" customWidth="1"/>
    <col min="5643" max="5643" width="3" style="393" customWidth="1"/>
    <col min="5644" max="5644" width="6.57142857142857" style="393" customWidth="1"/>
    <col min="5645" max="5645" width="2.42857142857143" style="393" customWidth="1"/>
    <col min="5646" max="5646" width="11.1428571428571" style="393" customWidth="1"/>
    <col min="5647" max="5647" width="10" style="393" customWidth="1"/>
    <col min="5648" max="5648" width="9.57142857142857" style="393" customWidth="1"/>
    <col min="5649" max="5649" width="11.7142857142857" style="393" customWidth="1"/>
    <col min="5650" max="5888" width="9.14285714285714" style="393"/>
    <col min="5889" max="5889" width="26.1428571428571" style="393" customWidth="1"/>
    <col min="5890" max="5890" width="20" style="393" customWidth="1"/>
    <col min="5891" max="5891" width="12" style="393" customWidth="1"/>
    <col min="5892" max="5892" width="12.2857142857143" style="393" customWidth="1"/>
    <col min="5893" max="5894" width="12.8571428571429" style="393" customWidth="1"/>
    <col min="5895" max="5895" width="11" style="393" customWidth="1"/>
    <col min="5896" max="5896" width="13.5714285714286" style="393" customWidth="1"/>
    <col min="5897" max="5897" width="5.85714285714286" style="393" customWidth="1"/>
    <col min="5898" max="5898" width="11.2857142857143" style="393" customWidth="1"/>
    <col min="5899" max="5899" width="3" style="393" customWidth="1"/>
    <col min="5900" max="5900" width="6.57142857142857" style="393" customWidth="1"/>
    <col min="5901" max="5901" width="2.42857142857143" style="393" customWidth="1"/>
    <col min="5902" max="5902" width="11.1428571428571" style="393" customWidth="1"/>
    <col min="5903" max="5903" width="10" style="393" customWidth="1"/>
    <col min="5904" max="5904" width="9.57142857142857" style="393" customWidth="1"/>
    <col min="5905" max="5905" width="11.7142857142857" style="393" customWidth="1"/>
    <col min="5906" max="6144" width="9.14285714285714" style="393"/>
    <col min="6145" max="6145" width="26.1428571428571" style="393" customWidth="1"/>
    <col min="6146" max="6146" width="20" style="393" customWidth="1"/>
    <col min="6147" max="6147" width="12" style="393" customWidth="1"/>
    <col min="6148" max="6148" width="12.2857142857143" style="393" customWidth="1"/>
    <col min="6149" max="6150" width="12.8571428571429" style="393" customWidth="1"/>
    <col min="6151" max="6151" width="11" style="393" customWidth="1"/>
    <col min="6152" max="6152" width="13.5714285714286" style="393" customWidth="1"/>
    <col min="6153" max="6153" width="5.85714285714286" style="393" customWidth="1"/>
    <col min="6154" max="6154" width="11.2857142857143" style="393" customWidth="1"/>
    <col min="6155" max="6155" width="3" style="393" customWidth="1"/>
    <col min="6156" max="6156" width="6.57142857142857" style="393" customWidth="1"/>
    <col min="6157" max="6157" width="2.42857142857143" style="393" customWidth="1"/>
    <col min="6158" max="6158" width="11.1428571428571" style="393" customWidth="1"/>
    <col min="6159" max="6159" width="10" style="393" customWidth="1"/>
    <col min="6160" max="6160" width="9.57142857142857" style="393" customWidth="1"/>
    <col min="6161" max="6161" width="11.7142857142857" style="393" customWidth="1"/>
    <col min="6162" max="6400" width="9.14285714285714" style="393"/>
    <col min="6401" max="6401" width="26.1428571428571" style="393" customWidth="1"/>
    <col min="6402" max="6402" width="20" style="393" customWidth="1"/>
    <col min="6403" max="6403" width="12" style="393" customWidth="1"/>
    <col min="6404" max="6404" width="12.2857142857143" style="393" customWidth="1"/>
    <col min="6405" max="6406" width="12.8571428571429" style="393" customWidth="1"/>
    <col min="6407" max="6407" width="11" style="393" customWidth="1"/>
    <col min="6408" max="6408" width="13.5714285714286" style="393" customWidth="1"/>
    <col min="6409" max="6409" width="5.85714285714286" style="393" customWidth="1"/>
    <col min="6410" max="6410" width="11.2857142857143" style="393" customWidth="1"/>
    <col min="6411" max="6411" width="3" style="393" customWidth="1"/>
    <col min="6412" max="6412" width="6.57142857142857" style="393" customWidth="1"/>
    <col min="6413" max="6413" width="2.42857142857143" style="393" customWidth="1"/>
    <col min="6414" max="6414" width="11.1428571428571" style="393" customWidth="1"/>
    <col min="6415" max="6415" width="10" style="393" customWidth="1"/>
    <col min="6416" max="6416" width="9.57142857142857" style="393" customWidth="1"/>
    <col min="6417" max="6417" width="11.7142857142857" style="393" customWidth="1"/>
    <col min="6418" max="6656" width="9.14285714285714" style="393"/>
    <col min="6657" max="6657" width="26.1428571428571" style="393" customWidth="1"/>
    <col min="6658" max="6658" width="20" style="393" customWidth="1"/>
    <col min="6659" max="6659" width="12" style="393" customWidth="1"/>
    <col min="6660" max="6660" width="12.2857142857143" style="393" customWidth="1"/>
    <col min="6661" max="6662" width="12.8571428571429" style="393" customWidth="1"/>
    <col min="6663" max="6663" width="11" style="393" customWidth="1"/>
    <col min="6664" max="6664" width="13.5714285714286" style="393" customWidth="1"/>
    <col min="6665" max="6665" width="5.85714285714286" style="393" customWidth="1"/>
    <col min="6666" max="6666" width="11.2857142857143" style="393" customWidth="1"/>
    <col min="6667" max="6667" width="3" style="393" customWidth="1"/>
    <col min="6668" max="6668" width="6.57142857142857" style="393" customWidth="1"/>
    <col min="6669" max="6669" width="2.42857142857143" style="393" customWidth="1"/>
    <col min="6670" max="6670" width="11.1428571428571" style="393" customWidth="1"/>
    <col min="6671" max="6671" width="10" style="393" customWidth="1"/>
    <col min="6672" max="6672" width="9.57142857142857" style="393" customWidth="1"/>
    <col min="6673" max="6673" width="11.7142857142857" style="393" customWidth="1"/>
    <col min="6674" max="6912" width="9.14285714285714" style="393"/>
    <col min="6913" max="6913" width="26.1428571428571" style="393" customWidth="1"/>
    <col min="6914" max="6914" width="20" style="393" customWidth="1"/>
    <col min="6915" max="6915" width="12" style="393" customWidth="1"/>
    <col min="6916" max="6916" width="12.2857142857143" style="393" customWidth="1"/>
    <col min="6917" max="6918" width="12.8571428571429" style="393" customWidth="1"/>
    <col min="6919" max="6919" width="11" style="393" customWidth="1"/>
    <col min="6920" max="6920" width="13.5714285714286" style="393" customWidth="1"/>
    <col min="6921" max="6921" width="5.85714285714286" style="393" customWidth="1"/>
    <col min="6922" max="6922" width="11.2857142857143" style="393" customWidth="1"/>
    <col min="6923" max="6923" width="3" style="393" customWidth="1"/>
    <col min="6924" max="6924" width="6.57142857142857" style="393" customWidth="1"/>
    <col min="6925" max="6925" width="2.42857142857143" style="393" customWidth="1"/>
    <col min="6926" max="6926" width="11.1428571428571" style="393" customWidth="1"/>
    <col min="6927" max="6927" width="10" style="393" customWidth="1"/>
    <col min="6928" max="6928" width="9.57142857142857" style="393" customWidth="1"/>
    <col min="6929" max="6929" width="11.7142857142857" style="393" customWidth="1"/>
    <col min="6930" max="7168" width="9.14285714285714" style="393"/>
    <col min="7169" max="7169" width="26.1428571428571" style="393" customWidth="1"/>
    <col min="7170" max="7170" width="20" style="393" customWidth="1"/>
    <col min="7171" max="7171" width="12" style="393" customWidth="1"/>
    <col min="7172" max="7172" width="12.2857142857143" style="393" customWidth="1"/>
    <col min="7173" max="7174" width="12.8571428571429" style="393" customWidth="1"/>
    <col min="7175" max="7175" width="11" style="393" customWidth="1"/>
    <col min="7176" max="7176" width="13.5714285714286" style="393" customWidth="1"/>
    <col min="7177" max="7177" width="5.85714285714286" style="393" customWidth="1"/>
    <col min="7178" max="7178" width="11.2857142857143" style="393" customWidth="1"/>
    <col min="7179" max="7179" width="3" style="393" customWidth="1"/>
    <col min="7180" max="7180" width="6.57142857142857" style="393" customWidth="1"/>
    <col min="7181" max="7181" width="2.42857142857143" style="393" customWidth="1"/>
    <col min="7182" max="7182" width="11.1428571428571" style="393" customWidth="1"/>
    <col min="7183" max="7183" width="10" style="393" customWidth="1"/>
    <col min="7184" max="7184" width="9.57142857142857" style="393" customWidth="1"/>
    <col min="7185" max="7185" width="11.7142857142857" style="393" customWidth="1"/>
    <col min="7186" max="7424" width="9.14285714285714" style="393"/>
    <col min="7425" max="7425" width="26.1428571428571" style="393" customWidth="1"/>
    <col min="7426" max="7426" width="20" style="393" customWidth="1"/>
    <col min="7427" max="7427" width="12" style="393" customWidth="1"/>
    <col min="7428" max="7428" width="12.2857142857143" style="393" customWidth="1"/>
    <col min="7429" max="7430" width="12.8571428571429" style="393" customWidth="1"/>
    <col min="7431" max="7431" width="11" style="393" customWidth="1"/>
    <col min="7432" max="7432" width="13.5714285714286" style="393" customWidth="1"/>
    <col min="7433" max="7433" width="5.85714285714286" style="393" customWidth="1"/>
    <col min="7434" max="7434" width="11.2857142857143" style="393" customWidth="1"/>
    <col min="7435" max="7435" width="3" style="393" customWidth="1"/>
    <col min="7436" max="7436" width="6.57142857142857" style="393" customWidth="1"/>
    <col min="7437" max="7437" width="2.42857142857143" style="393" customWidth="1"/>
    <col min="7438" max="7438" width="11.1428571428571" style="393" customWidth="1"/>
    <col min="7439" max="7439" width="10" style="393" customWidth="1"/>
    <col min="7440" max="7440" width="9.57142857142857" style="393" customWidth="1"/>
    <col min="7441" max="7441" width="11.7142857142857" style="393" customWidth="1"/>
    <col min="7442" max="7680" width="9.14285714285714" style="393"/>
    <col min="7681" max="7681" width="26.1428571428571" style="393" customWidth="1"/>
    <col min="7682" max="7682" width="20" style="393" customWidth="1"/>
    <col min="7683" max="7683" width="12" style="393" customWidth="1"/>
    <col min="7684" max="7684" width="12.2857142857143" style="393" customWidth="1"/>
    <col min="7685" max="7686" width="12.8571428571429" style="393" customWidth="1"/>
    <col min="7687" max="7687" width="11" style="393" customWidth="1"/>
    <col min="7688" max="7688" width="13.5714285714286" style="393" customWidth="1"/>
    <col min="7689" max="7689" width="5.85714285714286" style="393" customWidth="1"/>
    <col min="7690" max="7690" width="11.2857142857143" style="393" customWidth="1"/>
    <col min="7691" max="7691" width="3" style="393" customWidth="1"/>
    <col min="7692" max="7692" width="6.57142857142857" style="393" customWidth="1"/>
    <col min="7693" max="7693" width="2.42857142857143" style="393" customWidth="1"/>
    <col min="7694" max="7694" width="11.1428571428571" style="393" customWidth="1"/>
    <col min="7695" max="7695" width="10" style="393" customWidth="1"/>
    <col min="7696" max="7696" width="9.57142857142857" style="393" customWidth="1"/>
    <col min="7697" max="7697" width="11.7142857142857" style="393" customWidth="1"/>
    <col min="7698" max="7936" width="9.14285714285714" style="393"/>
    <col min="7937" max="7937" width="26.1428571428571" style="393" customWidth="1"/>
    <col min="7938" max="7938" width="20" style="393" customWidth="1"/>
    <col min="7939" max="7939" width="12" style="393" customWidth="1"/>
    <col min="7940" max="7940" width="12.2857142857143" style="393" customWidth="1"/>
    <col min="7941" max="7942" width="12.8571428571429" style="393" customWidth="1"/>
    <col min="7943" max="7943" width="11" style="393" customWidth="1"/>
    <col min="7944" max="7944" width="13.5714285714286" style="393" customWidth="1"/>
    <col min="7945" max="7945" width="5.85714285714286" style="393" customWidth="1"/>
    <col min="7946" max="7946" width="11.2857142857143" style="393" customWidth="1"/>
    <col min="7947" max="7947" width="3" style="393" customWidth="1"/>
    <col min="7948" max="7948" width="6.57142857142857" style="393" customWidth="1"/>
    <col min="7949" max="7949" width="2.42857142857143" style="393" customWidth="1"/>
    <col min="7950" max="7950" width="11.1428571428571" style="393" customWidth="1"/>
    <col min="7951" max="7951" width="10" style="393" customWidth="1"/>
    <col min="7952" max="7952" width="9.57142857142857" style="393" customWidth="1"/>
    <col min="7953" max="7953" width="11.7142857142857" style="393" customWidth="1"/>
    <col min="7954" max="8192" width="9.14285714285714" style="393"/>
    <col min="8193" max="8193" width="26.1428571428571" style="393" customWidth="1"/>
    <col min="8194" max="8194" width="20" style="393" customWidth="1"/>
    <col min="8195" max="8195" width="12" style="393" customWidth="1"/>
    <col min="8196" max="8196" width="12.2857142857143" style="393" customWidth="1"/>
    <col min="8197" max="8198" width="12.8571428571429" style="393" customWidth="1"/>
    <col min="8199" max="8199" width="11" style="393" customWidth="1"/>
    <col min="8200" max="8200" width="13.5714285714286" style="393" customWidth="1"/>
    <col min="8201" max="8201" width="5.85714285714286" style="393" customWidth="1"/>
    <col min="8202" max="8202" width="11.2857142857143" style="393" customWidth="1"/>
    <col min="8203" max="8203" width="3" style="393" customWidth="1"/>
    <col min="8204" max="8204" width="6.57142857142857" style="393" customWidth="1"/>
    <col min="8205" max="8205" width="2.42857142857143" style="393" customWidth="1"/>
    <col min="8206" max="8206" width="11.1428571428571" style="393" customWidth="1"/>
    <col min="8207" max="8207" width="10" style="393" customWidth="1"/>
    <col min="8208" max="8208" width="9.57142857142857" style="393" customWidth="1"/>
    <col min="8209" max="8209" width="11.7142857142857" style="393" customWidth="1"/>
    <col min="8210" max="8448" width="9.14285714285714" style="393"/>
    <col min="8449" max="8449" width="26.1428571428571" style="393" customWidth="1"/>
    <col min="8450" max="8450" width="20" style="393" customWidth="1"/>
    <col min="8451" max="8451" width="12" style="393" customWidth="1"/>
    <col min="8452" max="8452" width="12.2857142857143" style="393" customWidth="1"/>
    <col min="8453" max="8454" width="12.8571428571429" style="393" customWidth="1"/>
    <col min="8455" max="8455" width="11" style="393" customWidth="1"/>
    <col min="8456" max="8456" width="13.5714285714286" style="393" customWidth="1"/>
    <col min="8457" max="8457" width="5.85714285714286" style="393" customWidth="1"/>
    <col min="8458" max="8458" width="11.2857142857143" style="393" customWidth="1"/>
    <col min="8459" max="8459" width="3" style="393" customWidth="1"/>
    <col min="8460" max="8460" width="6.57142857142857" style="393" customWidth="1"/>
    <col min="8461" max="8461" width="2.42857142857143" style="393" customWidth="1"/>
    <col min="8462" max="8462" width="11.1428571428571" style="393" customWidth="1"/>
    <col min="8463" max="8463" width="10" style="393" customWidth="1"/>
    <col min="8464" max="8464" width="9.57142857142857" style="393" customWidth="1"/>
    <col min="8465" max="8465" width="11.7142857142857" style="393" customWidth="1"/>
    <col min="8466" max="8704" width="9.14285714285714" style="393"/>
    <col min="8705" max="8705" width="26.1428571428571" style="393" customWidth="1"/>
    <col min="8706" max="8706" width="20" style="393" customWidth="1"/>
    <col min="8707" max="8707" width="12" style="393" customWidth="1"/>
    <col min="8708" max="8708" width="12.2857142857143" style="393" customWidth="1"/>
    <col min="8709" max="8710" width="12.8571428571429" style="393" customWidth="1"/>
    <col min="8711" max="8711" width="11" style="393" customWidth="1"/>
    <col min="8712" max="8712" width="13.5714285714286" style="393" customWidth="1"/>
    <col min="8713" max="8713" width="5.85714285714286" style="393" customWidth="1"/>
    <col min="8714" max="8714" width="11.2857142857143" style="393" customWidth="1"/>
    <col min="8715" max="8715" width="3" style="393" customWidth="1"/>
    <col min="8716" max="8716" width="6.57142857142857" style="393" customWidth="1"/>
    <col min="8717" max="8717" width="2.42857142857143" style="393" customWidth="1"/>
    <col min="8718" max="8718" width="11.1428571428571" style="393" customWidth="1"/>
    <col min="8719" max="8719" width="10" style="393" customWidth="1"/>
    <col min="8720" max="8720" width="9.57142857142857" style="393" customWidth="1"/>
    <col min="8721" max="8721" width="11.7142857142857" style="393" customWidth="1"/>
    <col min="8722" max="8960" width="9.14285714285714" style="393"/>
    <col min="8961" max="8961" width="26.1428571428571" style="393" customWidth="1"/>
    <col min="8962" max="8962" width="20" style="393" customWidth="1"/>
    <col min="8963" max="8963" width="12" style="393" customWidth="1"/>
    <col min="8964" max="8964" width="12.2857142857143" style="393" customWidth="1"/>
    <col min="8965" max="8966" width="12.8571428571429" style="393" customWidth="1"/>
    <col min="8967" max="8967" width="11" style="393" customWidth="1"/>
    <col min="8968" max="8968" width="13.5714285714286" style="393" customWidth="1"/>
    <col min="8969" max="8969" width="5.85714285714286" style="393" customWidth="1"/>
    <col min="8970" max="8970" width="11.2857142857143" style="393" customWidth="1"/>
    <col min="8971" max="8971" width="3" style="393" customWidth="1"/>
    <col min="8972" max="8972" width="6.57142857142857" style="393" customWidth="1"/>
    <col min="8973" max="8973" width="2.42857142857143" style="393" customWidth="1"/>
    <col min="8974" max="8974" width="11.1428571428571" style="393" customWidth="1"/>
    <col min="8975" max="8975" width="10" style="393" customWidth="1"/>
    <col min="8976" max="8976" width="9.57142857142857" style="393" customWidth="1"/>
    <col min="8977" max="8977" width="11.7142857142857" style="393" customWidth="1"/>
    <col min="8978" max="9216" width="9.14285714285714" style="393"/>
    <col min="9217" max="9217" width="26.1428571428571" style="393" customWidth="1"/>
    <col min="9218" max="9218" width="20" style="393" customWidth="1"/>
    <col min="9219" max="9219" width="12" style="393" customWidth="1"/>
    <col min="9220" max="9220" width="12.2857142857143" style="393" customWidth="1"/>
    <col min="9221" max="9222" width="12.8571428571429" style="393" customWidth="1"/>
    <col min="9223" max="9223" width="11" style="393" customWidth="1"/>
    <col min="9224" max="9224" width="13.5714285714286" style="393" customWidth="1"/>
    <col min="9225" max="9225" width="5.85714285714286" style="393" customWidth="1"/>
    <col min="9226" max="9226" width="11.2857142857143" style="393" customWidth="1"/>
    <col min="9227" max="9227" width="3" style="393" customWidth="1"/>
    <col min="9228" max="9228" width="6.57142857142857" style="393" customWidth="1"/>
    <col min="9229" max="9229" width="2.42857142857143" style="393" customWidth="1"/>
    <col min="9230" max="9230" width="11.1428571428571" style="393" customWidth="1"/>
    <col min="9231" max="9231" width="10" style="393" customWidth="1"/>
    <col min="9232" max="9232" width="9.57142857142857" style="393" customWidth="1"/>
    <col min="9233" max="9233" width="11.7142857142857" style="393" customWidth="1"/>
    <col min="9234" max="9472" width="9.14285714285714" style="393"/>
    <col min="9473" max="9473" width="26.1428571428571" style="393" customWidth="1"/>
    <col min="9474" max="9474" width="20" style="393" customWidth="1"/>
    <col min="9475" max="9475" width="12" style="393" customWidth="1"/>
    <col min="9476" max="9476" width="12.2857142857143" style="393" customWidth="1"/>
    <col min="9477" max="9478" width="12.8571428571429" style="393" customWidth="1"/>
    <col min="9479" max="9479" width="11" style="393" customWidth="1"/>
    <col min="9480" max="9480" width="13.5714285714286" style="393" customWidth="1"/>
    <col min="9481" max="9481" width="5.85714285714286" style="393" customWidth="1"/>
    <col min="9482" max="9482" width="11.2857142857143" style="393" customWidth="1"/>
    <col min="9483" max="9483" width="3" style="393" customWidth="1"/>
    <col min="9484" max="9484" width="6.57142857142857" style="393" customWidth="1"/>
    <col min="9485" max="9485" width="2.42857142857143" style="393" customWidth="1"/>
    <col min="9486" max="9486" width="11.1428571428571" style="393" customWidth="1"/>
    <col min="9487" max="9487" width="10" style="393" customWidth="1"/>
    <col min="9488" max="9488" width="9.57142857142857" style="393" customWidth="1"/>
    <col min="9489" max="9489" width="11.7142857142857" style="393" customWidth="1"/>
    <col min="9490" max="9728" width="9.14285714285714" style="393"/>
    <col min="9729" max="9729" width="26.1428571428571" style="393" customWidth="1"/>
    <col min="9730" max="9730" width="20" style="393" customWidth="1"/>
    <col min="9731" max="9731" width="12" style="393" customWidth="1"/>
    <col min="9732" max="9732" width="12.2857142857143" style="393" customWidth="1"/>
    <col min="9733" max="9734" width="12.8571428571429" style="393" customWidth="1"/>
    <col min="9735" max="9735" width="11" style="393" customWidth="1"/>
    <col min="9736" max="9736" width="13.5714285714286" style="393" customWidth="1"/>
    <col min="9737" max="9737" width="5.85714285714286" style="393" customWidth="1"/>
    <col min="9738" max="9738" width="11.2857142857143" style="393" customWidth="1"/>
    <col min="9739" max="9739" width="3" style="393" customWidth="1"/>
    <col min="9740" max="9740" width="6.57142857142857" style="393" customWidth="1"/>
    <col min="9741" max="9741" width="2.42857142857143" style="393" customWidth="1"/>
    <col min="9742" max="9742" width="11.1428571428571" style="393" customWidth="1"/>
    <col min="9743" max="9743" width="10" style="393" customWidth="1"/>
    <col min="9744" max="9744" width="9.57142857142857" style="393" customWidth="1"/>
    <col min="9745" max="9745" width="11.7142857142857" style="393" customWidth="1"/>
    <col min="9746" max="9984" width="9.14285714285714" style="393"/>
    <col min="9985" max="9985" width="26.1428571428571" style="393" customWidth="1"/>
    <col min="9986" max="9986" width="20" style="393" customWidth="1"/>
    <col min="9987" max="9987" width="12" style="393" customWidth="1"/>
    <col min="9988" max="9988" width="12.2857142857143" style="393" customWidth="1"/>
    <col min="9989" max="9990" width="12.8571428571429" style="393" customWidth="1"/>
    <col min="9991" max="9991" width="11" style="393" customWidth="1"/>
    <col min="9992" max="9992" width="13.5714285714286" style="393" customWidth="1"/>
    <col min="9993" max="9993" width="5.85714285714286" style="393" customWidth="1"/>
    <col min="9994" max="9994" width="11.2857142857143" style="393" customWidth="1"/>
    <col min="9995" max="9995" width="3" style="393" customWidth="1"/>
    <col min="9996" max="9996" width="6.57142857142857" style="393" customWidth="1"/>
    <col min="9997" max="9997" width="2.42857142857143" style="393" customWidth="1"/>
    <col min="9998" max="9998" width="11.1428571428571" style="393" customWidth="1"/>
    <col min="9999" max="9999" width="10" style="393" customWidth="1"/>
    <col min="10000" max="10000" width="9.57142857142857" style="393" customWidth="1"/>
    <col min="10001" max="10001" width="11.7142857142857" style="393" customWidth="1"/>
    <col min="10002" max="10240" width="9.14285714285714" style="393"/>
    <col min="10241" max="10241" width="26.1428571428571" style="393" customWidth="1"/>
    <col min="10242" max="10242" width="20" style="393" customWidth="1"/>
    <col min="10243" max="10243" width="12" style="393" customWidth="1"/>
    <col min="10244" max="10244" width="12.2857142857143" style="393" customWidth="1"/>
    <col min="10245" max="10246" width="12.8571428571429" style="393" customWidth="1"/>
    <col min="10247" max="10247" width="11" style="393" customWidth="1"/>
    <col min="10248" max="10248" width="13.5714285714286" style="393" customWidth="1"/>
    <col min="10249" max="10249" width="5.85714285714286" style="393" customWidth="1"/>
    <col min="10250" max="10250" width="11.2857142857143" style="393" customWidth="1"/>
    <col min="10251" max="10251" width="3" style="393" customWidth="1"/>
    <col min="10252" max="10252" width="6.57142857142857" style="393" customWidth="1"/>
    <col min="10253" max="10253" width="2.42857142857143" style="393" customWidth="1"/>
    <col min="10254" max="10254" width="11.1428571428571" style="393" customWidth="1"/>
    <col min="10255" max="10255" width="10" style="393" customWidth="1"/>
    <col min="10256" max="10256" width="9.57142857142857" style="393" customWidth="1"/>
    <col min="10257" max="10257" width="11.7142857142857" style="393" customWidth="1"/>
    <col min="10258" max="10496" width="9.14285714285714" style="393"/>
    <col min="10497" max="10497" width="26.1428571428571" style="393" customWidth="1"/>
    <col min="10498" max="10498" width="20" style="393" customWidth="1"/>
    <col min="10499" max="10499" width="12" style="393" customWidth="1"/>
    <col min="10500" max="10500" width="12.2857142857143" style="393" customWidth="1"/>
    <col min="10501" max="10502" width="12.8571428571429" style="393" customWidth="1"/>
    <col min="10503" max="10503" width="11" style="393" customWidth="1"/>
    <col min="10504" max="10504" width="13.5714285714286" style="393" customWidth="1"/>
    <col min="10505" max="10505" width="5.85714285714286" style="393" customWidth="1"/>
    <col min="10506" max="10506" width="11.2857142857143" style="393" customWidth="1"/>
    <col min="10507" max="10507" width="3" style="393" customWidth="1"/>
    <col min="10508" max="10508" width="6.57142857142857" style="393" customWidth="1"/>
    <col min="10509" max="10509" width="2.42857142857143" style="393" customWidth="1"/>
    <col min="10510" max="10510" width="11.1428571428571" style="393" customWidth="1"/>
    <col min="10511" max="10511" width="10" style="393" customWidth="1"/>
    <col min="10512" max="10512" width="9.57142857142857" style="393" customWidth="1"/>
    <col min="10513" max="10513" width="11.7142857142857" style="393" customWidth="1"/>
    <col min="10514" max="10752" width="9.14285714285714" style="393"/>
    <col min="10753" max="10753" width="26.1428571428571" style="393" customWidth="1"/>
    <col min="10754" max="10754" width="20" style="393" customWidth="1"/>
    <col min="10755" max="10755" width="12" style="393" customWidth="1"/>
    <col min="10756" max="10756" width="12.2857142857143" style="393" customWidth="1"/>
    <col min="10757" max="10758" width="12.8571428571429" style="393" customWidth="1"/>
    <col min="10759" max="10759" width="11" style="393" customWidth="1"/>
    <col min="10760" max="10760" width="13.5714285714286" style="393" customWidth="1"/>
    <col min="10761" max="10761" width="5.85714285714286" style="393" customWidth="1"/>
    <col min="10762" max="10762" width="11.2857142857143" style="393" customWidth="1"/>
    <col min="10763" max="10763" width="3" style="393" customWidth="1"/>
    <col min="10764" max="10764" width="6.57142857142857" style="393" customWidth="1"/>
    <col min="10765" max="10765" width="2.42857142857143" style="393" customWidth="1"/>
    <col min="10766" max="10766" width="11.1428571428571" style="393" customWidth="1"/>
    <col min="10767" max="10767" width="10" style="393" customWidth="1"/>
    <col min="10768" max="10768" width="9.57142857142857" style="393" customWidth="1"/>
    <col min="10769" max="10769" width="11.7142857142857" style="393" customWidth="1"/>
    <col min="10770" max="11008" width="9.14285714285714" style="393"/>
    <col min="11009" max="11009" width="26.1428571428571" style="393" customWidth="1"/>
    <col min="11010" max="11010" width="20" style="393" customWidth="1"/>
    <col min="11011" max="11011" width="12" style="393" customWidth="1"/>
    <col min="11012" max="11012" width="12.2857142857143" style="393" customWidth="1"/>
    <col min="11013" max="11014" width="12.8571428571429" style="393" customWidth="1"/>
    <col min="11015" max="11015" width="11" style="393" customWidth="1"/>
    <col min="11016" max="11016" width="13.5714285714286" style="393" customWidth="1"/>
    <col min="11017" max="11017" width="5.85714285714286" style="393" customWidth="1"/>
    <col min="11018" max="11018" width="11.2857142857143" style="393" customWidth="1"/>
    <col min="11019" max="11019" width="3" style="393" customWidth="1"/>
    <col min="11020" max="11020" width="6.57142857142857" style="393" customWidth="1"/>
    <col min="11021" max="11021" width="2.42857142857143" style="393" customWidth="1"/>
    <col min="11022" max="11022" width="11.1428571428571" style="393" customWidth="1"/>
    <col min="11023" max="11023" width="10" style="393" customWidth="1"/>
    <col min="11024" max="11024" width="9.57142857142857" style="393" customWidth="1"/>
    <col min="11025" max="11025" width="11.7142857142857" style="393" customWidth="1"/>
    <col min="11026" max="11264" width="9.14285714285714" style="393"/>
    <col min="11265" max="11265" width="26.1428571428571" style="393" customWidth="1"/>
    <col min="11266" max="11266" width="20" style="393" customWidth="1"/>
    <col min="11267" max="11267" width="12" style="393" customWidth="1"/>
    <col min="11268" max="11268" width="12.2857142857143" style="393" customWidth="1"/>
    <col min="11269" max="11270" width="12.8571428571429" style="393" customWidth="1"/>
    <col min="11271" max="11271" width="11" style="393" customWidth="1"/>
    <col min="11272" max="11272" width="13.5714285714286" style="393" customWidth="1"/>
    <col min="11273" max="11273" width="5.85714285714286" style="393" customWidth="1"/>
    <col min="11274" max="11274" width="11.2857142857143" style="393" customWidth="1"/>
    <col min="11275" max="11275" width="3" style="393" customWidth="1"/>
    <col min="11276" max="11276" width="6.57142857142857" style="393" customWidth="1"/>
    <col min="11277" max="11277" width="2.42857142857143" style="393" customWidth="1"/>
    <col min="11278" max="11278" width="11.1428571428571" style="393" customWidth="1"/>
    <col min="11279" max="11279" width="10" style="393" customWidth="1"/>
    <col min="11280" max="11280" width="9.57142857142857" style="393" customWidth="1"/>
    <col min="11281" max="11281" width="11.7142857142857" style="393" customWidth="1"/>
    <col min="11282" max="11520" width="9.14285714285714" style="393"/>
    <col min="11521" max="11521" width="26.1428571428571" style="393" customWidth="1"/>
    <col min="11522" max="11522" width="20" style="393" customWidth="1"/>
    <col min="11523" max="11523" width="12" style="393" customWidth="1"/>
    <col min="11524" max="11524" width="12.2857142857143" style="393" customWidth="1"/>
    <col min="11525" max="11526" width="12.8571428571429" style="393" customWidth="1"/>
    <col min="11527" max="11527" width="11" style="393" customWidth="1"/>
    <col min="11528" max="11528" width="13.5714285714286" style="393" customWidth="1"/>
    <col min="11529" max="11529" width="5.85714285714286" style="393" customWidth="1"/>
    <col min="11530" max="11530" width="11.2857142857143" style="393" customWidth="1"/>
    <col min="11531" max="11531" width="3" style="393" customWidth="1"/>
    <col min="11532" max="11532" width="6.57142857142857" style="393" customWidth="1"/>
    <col min="11533" max="11533" width="2.42857142857143" style="393" customWidth="1"/>
    <col min="11534" max="11534" width="11.1428571428571" style="393" customWidth="1"/>
    <col min="11535" max="11535" width="10" style="393" customWidth="1"/>
    <col min="11536" max="11536" width="9.57142857142857" style="393" customWidth="1"/>
    <col min="11537" max="11537" width="11.7142857142857" style="393" customWidth="1"/>
    <col min="11538" max="11776" width="9.14285714285714" style="393"/>
    <col min="11777" max="11777" width="26.1428571428571" style="393" customWidth="1"/>
    <col min="11778" max="11778" width="20" style="393" customWidth="1"/>
    <col min="11779" max="11779" width="12" style="393" customWidth="1"/>
    <col min="11780" max="11780" width="12.2857142857143" style="393" customWidth="1"/>
    <col min="11781" max="11782" width="12.8571428571429" style="393" customWidth="1"/>
    <col min="11783" max="11783" width="11" style="393" customWidth="1"/>
    <col min="11784" max="11784" width="13.5714285714286" style="393" customWidth="1"/>
    <col min="11785" max="11785" width="5.85714285714286" style="393" customWidth="1"/>
    <col min="11786" max="11786" width="11.2857142857143" style="393" customWidth="1"/>
    <col min="11787" max="11787" width="3" style="393" customWidth="1"/>
    <col min="11788" max="11788" width="6.57142857142857" style="393" customWidth="1"/>
    <col min="11789" max="11789" width="2.42857142857143" style="393" customWidth="1"/>
    <col min="11790" max="11790" width="11.1428571428571" style="393" customWidth="1"/>
    <col min="11791" max="11791" width="10" style="393" customWidth="1"/>
    <col min="11792" max="11792" width="9.57142857142857" style="393" customWidth="1"/>
    <col min="11793" max="11793" width="11.7142857142857" style="393" customWidth="1"/>
    <col min="11794" max="12032" width="9.14285714285714" style="393"/>
    <col min="12033" max="12033" width="26.1428571428571" style="393" customWidth="1"/>
    <col min="12034" max="12034" width="20" style="393" customWidth="1"/>
    <col min="12035" max="12035" width="12" style="393" customWidth="1"/>
    <col min="12036" max="12036" width="12.2857142857143" style="393" customWidth="1"/>
    <col min="12037" max="12038" width="12.8571428571429" style="393" customWidth="1"/>
    <col min="12039" max="12039" width="11" style="393" customWidth="1"/>
    <col min="12040" max="12040" width="13.5714285714286" style="393" customWidth="1"/>
    <col min="12041" max="12041" width="5.85714285714286" style="393" customWidth="1"/>
    <col min="12042" max="12042" width="11.2857142857143" style="393" customWidth="1"/>
    <col min="12043" max="12043" width="3" style="393" customWidth="1"/>
    <col min="12044" max="12044" width="6.57142857142857" style="393" customWidth="1"/>
    <col min="12045" max="12045" width="2.42857142857143" style="393" customWidth="1"/>
    <col min="12046" max="12046" width="11.1428571428571" style="393" customWidth="1"/>
    <col min="12047" max="12047" width="10" style="393" customWidth="1"/>
    <col min="12048" max="12048" width="9.57142857142857" style="393" customWidth="1"/>
    <col min="12049" max="12049" width="11.7142857142857" style="393" customWidth="1"/>
    <col min="12050" max="12288" width="9.14285714285714" style="393"/>
    <col min="12289" max="12289" width="26.1428571428571" style="393" customWidth="1"/>
    <col min="12290" max="12290" width="20" style="393" customWidth="1"/>
    <col min="12291" max="12291" width="12" style="393" customWidth="1"/>
    <col min="12292" max="12292" width="12.2857142857143" style="393" customWidth="1"/>
    <col min="12293" max="12294" width="12.8571428571429" style="393" customWidth="1"/>
    <col min="12295" max="12295" width="11" style="393" customWidth="1"/>
    <col min="12296" max="12296" width="13.5714285714286" style="393" customWidth="1"/>
    <col min="12297" max="12297" width="5.85714285714286" style="393" customWidth="1"/>
    <col min="12298" max="12298" width="11.2857142857143" style="393" customWidth="1"/>
    <col min="12299" max="12299" width="3" style="393" customWidth="1"/>
    <col min="12300" max="12300" width="6.57142857142857" style="393" customWidth="1"/>
    <col min="12301" max="12301" width="2.42857142857143" style="393" customWidth="1"/>
    <col min="12302" max="12302" width="11.1428571428571" style="393" customWidth="1"/>
    <col min="12303" max="12303" width="10" style="393" customWidth="1"/>
    <col min="12304" max="12304" width="9.57142857142857" style="393" customWidth="1"/>
    <col min="12305" max="12305" width="11.7142857142857" style="393" customWidth="1"/>
    <col min="12306" max="12544" width="9.14285714285714" style="393"/>
    <col min="12545" max="12545" width="26.1428571428571" style="393" customWidth="1"/>
    <col min="12546" max="12546" width="20" style="393" customWidth="1"/>
    <col min="12547" max="12547" width="12" style="393" customWidth="1"/>
    <col min="12548" max="12548" width="12.2857142857143" style="393" customWidth="1"/>
    <col min="12549" max="12550" width="12.8571428571429" style="393" customWidth="1"/>
    <col min="12551" max="12551" width="11" style="393" customWidth="1"/>
    <col min="12552" max="12552" width="13.5714285714286" style="393" customWidth="1"/>
    <col min="12553" max="12553" width="5.85714285714286" style="393" customWidth="1"/>
    <col min="12554" max="12554" width="11.2857142857143" style="393" customWidth="1"/>
    <col min="12555" max="12555" width="3" style="393" customWidth="1"/>
    <col min="12556" max="12556" width="6.57142857142857" style="393" customWidth="1"/>
    <col min="12557" max="12557" width="2.42857142857143" style="393" customWidth="1"/>
    <col min="12558" max="12558" width="11.1428571428571" style="393" customWidth="1"/>
    <col min="12559" max="12559" width="10" style="393" customWidth="1"/>
    <col min="12560" max="12560" width="9.57142857142857" style="393" customWidth="1"/>
    <col min="12561" max="12561" width="11.7142857142857" style="393" customWidth="1"/>
    <col min="12562" max="12800" width="9.14285714285714" style="393"/>
    <col min="12801" max="12801" width="26.1428571428571" style="393" customWidth="1"/>
    <col min="12802" max="12802" width="20" style="393" customWidth="1"/>
    <col min="12803" max="12803" width="12" style="393" customWidth="1"/>
    <col min="12804" max="12804" width="12.2857142857143" style="393" customWidth="1"/>
    <col min="12805" max="12806" width="12.8571428571429" style="393" customWidth="1"/>
    <col min="12807" max="12807" width="11" style="393" customWidth="1"/>
    <col min="12808" max="12808" width="13.5714285714286" style="393" customWidth="1"/>
    <col min="12809" max="12809" width="5.85714285714286" style="393" customWidth="1"/>
    <col min="12810" max="12810" width="11.2857142857143" style="393" customWidth="1"/>
    <col min="12811" max="12811" width="3" style="393" customWidth="1"/>
    <col min="12812" max="12812" width="6.57142857142857" style="393" customWidth="1"/>
    <col min="12813" max="12813" width="2.42857142857143" style="393" customWidth="1"/>
    <col min="12814" max="12814" width="11.1428571428571" style="393" customWidth="1"/>
    <col min="12815" max="12815" width="10" style="393" customWidth="1"/>
    <col min="12816" max="12816" width="9.57142857142857" style="393" customWidth="1"/>
    <col min="12817" max="12817" width="11.7142857142857" style="393" customWidth="1"/>
    <col min="12818" max="13056" width="9.14285714285714" style="393"/>
    <col min="13057" max="13057" width="26.1428571428571" style="393" customWidth="1"/>
    <col min="13058" max="13058" width="20" style="393" customWidth="1"/>
    <col min="13059" max="13059" width="12" style="393" customWidth="1"/>
    <col min="13060" max="13060" width="12.2857142857143" style="393" customWidth="1"/>
    <col min="13061" max="13062" width="12.8571428571429" style="393" customWidth="1"/>
    <col min="13063" max="13063" width="11" style="393" customWidth="1"/>
    <col min="13064" max="13064" width="13.5714285714286" style="393" customWidth="1"/>
    <col min="13065" max="13065" width="5.85714285714286" style="393" customWidth="1"/>
    <col min="13066" max="13066" width="11.2857142857143" style="393" customWidth="1"/>
    <col min="13067" max="13067" width="3" style="393" customWidth="1"/>
    <col min="13068" max="13068" width="6.57142857142857" style="393" customWidth="1"/>
    <col min="13069" max="13069" width="2.42857142857143" style="393" customWidth="1"/>
    <col min="13070" max="13070" width="11.1428571428571" style="393" customWidth="1"/>
    <col min="13071" max="13071" width="10" style="393" customWidth="1"/>
    <col min="13072" max="13072" width="9.57142857142857" style="393" customWidth="1"/>
    <col min="13073" max="13073" width="11.7142857142857" style="393" customWidth="1"/>
    <col min="13074" max="13312" width="9.14285714285714" style="393"/>
    <col min="13313" max="13313" width="26.1428571428571" style="393" customWidth="1"/>
    <col min="13314" max="13314" width="20" style="393" customWidth="1"/>
    <col min="13315" max="13315" width="12" style="393" customWidth="1"/>
    <col min="13316" max="13316" width="12.2857142857143" style="393" customWidth="1"/>
    <col min="13317" max="13318" width="12.8571428571429" style="393" customWidth="1"/>
    <col min="13319" max="13319" width="11" style="393" customWidth="1"/>
    <col min="13320" max="13320" width="13.5714285714286" style="393" customWidth="1"/>
    <col min="13321" max="13321" width="5.85714285714286" style="393" customWidth="1"/>
    <col min="13322" max="13322" width="11.2857142857143" style="393" customWidth="1"/>
    <col min="13323" max="13323" width="3" style="393" customWidth="1"/>
    <col min="13324" max="13324" width="6.57142857142857" style="393" customWidth="1"/>
    <col min="13325" max="13325" width="2.42857142857143" style="393" customWidth="1"/>
    <col min="13326" max="13326" width="11.1428571428571" style="393" customWidth="1"/>
    <col min="13327" max="13327" width="10" style="393" customWidth="1"/>
    <col min="13328" max="13328" width="9.57142857142857" style="393" customWidth="1"/>
    <col min="13329" max="13329" width="11.7142857142857" style="393" customWidth="1"/>
    <col min="13330" max="13568" width="9.14285714285714" style="393"/>
    <col min="13569" max="13569" width="26.1428571428571" style="393" customWidth="1"/>
    <col min="13570" max="13570" width="20" style="393" customWidth="1"/>
    <col min="13571" max="13571" width="12" style="393" customWidth="1"/>
    <col min="13572" max="13572" width="12.2857142857143" style="393" customWidth="1"/>
    <col min="13573" max="13574" width="12.8571428571429" style="393" customWidth="1"/>
    <col min="13575" max="13575" width="11" style="393" customWidth="1"/>
    <col min="13576" max="13576" width="13.5714285714286" style="393" customWidth="1"/>
    <col min="13577" max="13577" width="5.85714285714286" style="393" customWidth="1"/>
    <col min="13578" max="13578" width="11.2857142857143" style="393" customWidth="1"/>
    <col min="13579" max="13579" width="3" style="393" customWidth="1"/>
    <col min="13580" max="13580" width="6.57142857142857" style="393" customWidth="1"/>
    <col min="13581" max="13581" width="2.42857142857143" style="393" customWidth="1"/>
    <col min="13582" max="13582" width="11.1428571428571" style="393" customWidth="1"/>
    <col min="13583" max="13583" width="10" style="393" customWidth="1"/>
    <col min="13584" max="13584" width="9.57142857142857" style="393" customWidth="1"/>
    <col min="13585" max="13585" width="11.7142857142857" style="393" customWidth="1"/>
    <col min="13586" max="13824" width="9.14285714285714" style="393"/>
    <col min="13825" max="13825" width="26.1428571428571" style="393" customWidth="1"/>
    <col min="13826" max="13826" width="20" style="393" customWidth="1"/>
    <col min="13827" max="13827" width="12" style="393" customWidth="1"/>
    <col min="13828" max="13828" width="12.2857142857143" style="393" customWidth="1"/>
    <col min="13829" max="13830" width="12.8571428571429" style="393" customWidth="1"/>
    <col min="13831" max="13831" width="11" style="393" customWidth="1"/>
    <col min="13832" max="13832" width="13.5714285714286" style="393" customWidth="1"/>
    <col min="13833" max="13833" width="5.85714285714286" style="393" customWidth="1"/>
    <col min="13834" max="13834" width="11.2857142857143" style="393" customWidth="1"/>
    <col min="13835" max="13835" width="3" style="393" customWidth="1"/>
    <col min="13836" max="13836" width="6.57142857142857" style="393" customWidth="1"/>
    <col min="13837" max="13837" width="2.42857142857143" style="393" customWidth="1"/>
    <col min="13838" max="13838" width="11.1428571428571" style="393" customWidth="1"/>
    <col min="13839" max="13839" width="10" style="393" customWidth="1"/>
    <col min="13840" max="13840" width="9.57142857142857" style="393" customWidth="1"/>
    <col min="13841" max="13841" width="11.7142857142857" style="393" customWidth="1"/>
    <col min="13842" max="14080" width="9.14285714285714" style="393"/>
    <col min="14081" max="14081" width="26.1428571428571" style="393" customWidth="1"/>
    <col min="14082" max="14082" width="20" style="393" customWidth="1"/>
    <col min="14083" max="14083" width="12" style="393" customWidth="1"/>
    <col min="14084" max="14084" width="12.2857142857143" style="393" customWidth="1"/>
    <col min="14085" max="14086" width="12.8571428571429" style="393" customWidth="1"/>
    <col min="14087" max="14087" width="11" style="393" customWidth="1"/>
    <col min="14088" max="14088" width="13.5714285714286" style="393" customWidth="1"/>
    <col min="14089" max="14089" width="5.85714285714286" style="393" customWidth="1"/>
    <col min="14090" max="14090" width="11.2857142857143" style="393" customWidth="1"/>
    <col min="14091" max="14091" width="3" style="393" customWidth="1"/>
    <col min="14092" max="14092" width="6.57142857142857" style="393" customWidth="1"/>
    <col min="14093" max="14093" width="2.42857142857143" style="393" customWidth="1"/>
    <col min="14094" max="14094" width="11.1428571428571" style="393" customWidth="1"/>
    <col min="14095" max="14095" width="10" style="393" customWidth="1"/>
    <col min="14096" max="14096" width="9.57142857142857" style="393" customWidth="1"/>
    <col min="14097" max="14097" width="11.7142857142857" style="393" customWidth="1"/>
    <col min="14098" max="14336" width="9.14285714285714" style="393"/>
    <col min="14337" max="14337" width="26.1428571428571" style="393" customWidth="1"/>
    <col min="14338" max="14338" width="20" style="393" customWidth="1"/>
    <col min="14339" max="14339" width="12" style="393" customWidth="1"/>
    <col min="14340" max="14340" width="12.2857142857143" style="393" customWidth="1"/>
    <col min="14341" max="14342" width="12.8571428571429" style="393" customWidth="1"/>
    <col min="14343" max="14343" width="11" style="393" customWidth="1"/>
    <col min="14344" max="14344" width="13.5714285714286" style="393" customWidth="1"/>
    <col min="14345" max="14345" width="5.85714285714286" style="393" customWidth="1"/>
    <col min="14346" max="14346" width="11.2857142857143" style="393" customWidth="1"/>
    <col min="14347" max="14347" width="3" style="393" customWidth="1"/>
    <col min="14348" max="14348" width="6.57142857142857" style="393" customWidth="1"/>
    <col min="14349" max="14349" width="2.42857142857143" style="393" customWidth="1"/>
    <col min="14350" max="14350" width="11.1428571428571" style="393" customWidth="1"/>
    <col min="14351" max="14351" width="10" style="393" customWidth="1"/>
    <col min="14352" max="14352" width="9.57142857142857" style="393" customWidth="1"/>
    <col min="14353" max="14353" width="11.7142857142857" style="393" customWidth="1"/>
    <col min="14354" max="14592" width="9.14285714285714" style="393"/>
    <col min="14593" max="14593" width="26.1428571428571" style="393" customWidth="1"/>
    <col min="14594" max="14594" width="20" style="393" customWidth="1"/>
    <col min="14595" max="14595" width="12" style="393" customWidth="1"/>
    <col min="14596" max="14596" width="12.2857142857143" style="393" customWidth="1"/>
    <col min="14597" max="14598" width="12.8571428571429" style="393" customWidth="1"/>
    <col min="14599" max="14599" width="11" style="393" customWidth="1"/>
    <col min="14600" max="14600" width="13.5714285714286" style="393" customWidth="1"/>
    <col min="14601" max="14601" width="5.85714285714286" style="393" customWidth="1"/>
    <col min="14602" max="14602" width="11.2857142857143" style="393" customWidth="1"/>
    <col min="14603" max="14603" width="3" style="393" customWidth="1"/>
    <col min="14604" max="14604" width="6.57142857142857" style="393" customWidth="1"/>
    <col min="14605" max="14605" width="2.42857142857143" style="393" customWidth="1"/>
    <col min="14606" max="14606" width="11.1428571428571" style="393" customWidth="1"/>
    <col min="14607" max="14607" width="10" style="393" customWidth="1"/>
    <col min="14608" max="14608" width="9.57142857142857" style="393" customWidth="1"/>
    <col min="14609" max="14609" width="11.7142857142857" style="393" customWidth="1"/>
    <col min="14610" max="14848" width="9.14285714285714" style="393"/>
    <col min="14849" max="14849" width="26.1428571428571" style="393" customWidth="1"/>
    <col min="14850" max="14850" width="20" style="393" customWidth="1"/>
    <col min="14851" max="14851" width="12" style="393" customWidth="1"/>
    <col min="14852" max="14852" width="12.2857142857143" style="393" customWidth="1"/>
    <col min="14853" max="14854" width="12.8571428571429" style="393" customWidth="1"/>
    <col min="14855" max="14855" width="11" style="393" customWidth="1"/>
    <col min="14856" max="14856" width="13.5714285714286" style="393" customWidth="1"/>
    <col min="14857" max="14857" width="5.85714285714286" style="393" customWidth="1"/>
    <col min="14858" max="14858" width="11.2857142857143" style="393" customWidth="1"/>
    <col min="14859" max="14859" width="3" style="393" customWidth="1"/>
    <col min="14860" max="14860" width="6.57142857142857" style="393" customWidth="1"/>
    <col min="14861" max="14861" width="2.42857142857143" style="393" customWidth="1"/>
    <col min="14862" max="14862" width="11.1428571428571" style="393" customWidth="1"/>
    <col min="14863" max="14863" width="10" style="393" customWidth="1"/>
    <col min="14864" max="14864" width="9.57142857142857" style="393" customWidth="1"/>
    <col min="14865" max="14865" width="11.7142857142857" style="393" customWidth="1"/>
    <col min="14866" max="15104" width="9.14285714285714" style="393"/>
    <col min="15105" max="15105" width="26.1428571428571" style="393" customWidth="1"/>
    <col min="15106" max="15106" width="20" style="393" customWidth="1"/>
    <col min="15107" max="15107" width="12" style="393" customWidth="1"/>
    <col min="15108" max="15108" width="12.2857142857143" style="393" customWidth="1"/>
    <col min="15109" max="15110" width="12.8571428571429" style="393" customWidth="1"/>
    <col min="15111" max="15111" width="11" style="393" customWidth="1"/>
    <col min="15112" max="15112" width="13.5714285714286" style="393" customWidth="1"/>
    <col min="15113" max="15113" width="5.85714285714286" style="393" customWidth="1"/>
    <col min="15114" max="15114" width="11.2857142857143" style="393" customWidth="1"/>
    <col min="15115" max="15115" width="3" style="393" customWidth="1"/>
    <col min="15116" max="15116" width="6.57142857142857" style="393" customWidth="1"/>
    <col min="15117" max="15117" width="2.42857142857143" style="393" customWidth="1"/>
    <col min="15118" max="15118" width="11.1428571428571" style="393" customWidth="1"/>
    <col min="15119" max="15119" width="10" style="393" customWidth="1"/>
    <col min="15120" max="15120" width="9.57142857142857" style="393" customWidth="1"/>
    <col min="15121" max="15121" width="11.7142857142857" style="393" customWidth="1"/>
    <col min="15122" max="15360" width="9.14285714285714" style="393"/>
    <col min="15361" max="15361" width="26.1428571428571" style="393" customWidth="1"/>
    <col min="15362" max="15362" width="20" style="393" customWidth="1"/>
    <col min="15363" max="15363" width="12" style="393" customWidth="1"/>
    <col min="15364" max="15364" width="12.2857142857143" style="393" customWidth="1"/>
    <col min="15365" max="15366" width="12.8571428571429" style="393" customWidth="1"/>
    <col min="15367" max="15367" width="11" style="393" customWidth="1"/>
    <col min="15368" max="15368" width="13.5714285714286" style="393" customWidth="1"/>
    <col min="15369" max="15369" width="5.85714285714286" style="393" customWidth="1"/>
    <col min="15370" max="15370" width="11.2857142857143" style="393" customWidth="1"/>
    <col min="15371" max="15371" width="3" style="393" customWidth="1"/>
    <col min="15372" max="15372" width="6.57142857142857" style="393" customWidth="1"/>
    <col min="15373" max="15373" width="2.42857142857143" style="393" customWidth="1"/>
    <col min="15374" max="15374" width="11.1428571428571" style="393" customWidth="1"/>
    <col min="15375" max="15375" width="10" style="393" customWidth="1"/>
    <col min="15376" max="15376" width="9.57142857142857" style="393" customWidth="1"/>
    <col min="15377" max="15377" width="11.7142857142857" style="393" customWidth="1"/>
    <col min="15378" max="15616" width="9.14285714285714" style="393"/>
    <col min="15617" max="15617" width="26.1428571428571" style="393" customWidth="1"/>
    <col min="15618" max="15618" width="20" style="393" customWidth="1"/>
    <col min="15619" max="15619" width="12" style="393" customWidth="1"/>
    <col min="15620" max="15620" width="12.2857142857143" style="393" customWidth="1"/>
    <col min="15621" max="15622" width="12.8571428571429" style="393" customWidth="1"/>
    <col min="15623" max="15623" width="11" style="393" customWidth="1"/>
    <col min="15624" max="15624" width="13.5714285714286" style="393" customWidth="1"/>
    <col min="15625" max="15625" width="5.85714285714286" style="393" customWidth="1"/>
    <col min="15626" max="15626" width="11.2857142857143" style="393" customWidth="1"/>
    <col min="15627" max="15627" width="3" style="393" customWidth="1"/>
    <col min="15628" max="15628" width="6.57142857142857" style="393" customWidth="1"/>
    <col min="15629" max="15629" width="2.42857142857143" style="393" customWidth="1"/>
    <col min="15630" max="15630" width="11.1428571428571" style="393" customWidth="1"/>
    <col min="15631" max="15631" width="10" style="393" customWidth="1"/>
    <col min="15632" max="15632" width="9.57142857142857" style="393" customWidth="1"/>
    <col min="15633" max="15633" width="11.7142857142857" style="393" customWidth="1"/>
    <col min="15634" max="15872" width="9.14285714285714" style="393"/>
    <col min="15873" max="15873" width="26.1428571428571" style="393" customWidth="1"/>
    <col min="15874" max="15874" width="20" style="393" customWidth="1"/>
    <col min="15875" max="15875" width="12" style="393" customWidth="1"/>
    <col min="15876" max="15876" width="12.2857142857143" style="393" customWidth="1"/>
    <col min="15877" max="15878" width="12.8571428571429" style="393" customWidth="1"/>
    <col min="15879" max="15879" width="11" style="393" customWidth="1"/>
    <col min="15880" max="15880" width="13.5714285714286" style="393" customWidth="1"/>
    <col min="15881" max="15881" width="5.85714285714286" style="393" customWidth="1"/>
    <col min="15882" max="15882" width="11.2857142857143" style="393" customWidth="1"/>
    <col min="15883" max="15883" width="3" style="393" customWidth="1"/>
    <col min="15884" max="15884" width="6.57142857142857" style="393" customWidth="1"/>
    <col min="15885" max="15885" width="2.42857142857143" style="393" customWidth="1"/>
    <col min="15886" max="15886" width="11.1428571428571" style="393" customWidth="1"/>
    <col min="15887" max="15887" width="10" style="393" customWidth="1"/>
    <col min="15888" max="15888" width="9.57142857142857" style="393" customWidth="1"/>
    <col min="15889" max="15889" width="11.7142857142857" style="393" customWidth="1"/>
    <col min="15890" max="16128" width="9.14285714285714" style="393"/>
    <col min="16129" max="16129" width="26.1428571428571" style="393" customWidth="1"/>
    <col min="16130" max="16130" width="20" style="393" customWidth="1"/>
    <col min="16131" max="16131" width="12" style="393" customWidth="1"/>
    <col min="16132" max="16132" width="12.2857142857143" style="393" customWidth="1"/>
    <col min="16133" max="16134" width="12.8571428571429" style="393" customWidth="1"/>
    <col min="16135" max="16135" width="11" style="393" customWidth="1"/>
    <col min="16136" max="16136" width="13.5714285714286" style="393" customWidth="1"/>
    <col min="16137" max="16137" width="5.85714285714286" style="393" customWidth="1"/>
    <col min="16138" max="16138" width="11.2857142857143" style="393" customWidth="1"/>
    <col min="16139" max="16139" width="3" style="393" customWidth="1"/>
    <col min="16140" max="16140" width="6.57142857142857" style="393" customWidth="1"/>
    <col min="16141" max="16141" width="2.42857142857143" style="393" customWidth="1"/>
    <col min="16142" max="16142" width="11.1428571428571" style="393" customWidth="1"/>
    <col min="16143" max="16143" width="10" style="393" customWidth="1"/>
    <col min="16144" max="16144" width="9.57142857142857" style="393" customWidth="1"/>
    <col min="16145" max="16145" width="11.7142857142857" style="393" customWidth="1"/>
    <col min="16146" max="16384" width="9.14285714285714" style="393"/>
  </cols>
  <sheetData>
    <row r="1" spans="1:16">
      <c r="A1" s="394" t="s">
        <v>220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</row>
    <row r="2" s="390" customFormat="1" ht="115.35" customHeight="1" spans="1:16">
      <c r="A2" s="395" t="s">
        <v>19</v>
      </c>
      <c r="B2" s="395" t="s">
        <v>221</v>
      </c>
      <c r="C2" s="396" t="s">
        <v>222</v>
      </c>
      <c r="D2" s="396" t="s">
        <v>223</v>
      </c>
      <c r="E2" s="396" t="s">
        <v>224</v>
      </c>
      <c r="F2" s="396" t="s">
        <v>225</v>
      </c>
      <c r="G2" s="396" t="s">
        <v>226</v>
      </c>
      <c r="H2" s="396" t="s">
        <v>227</v>
      </c>
      <c r="I2" s="429" t="s">
        <v>228</v>
      </c>
      <c r="J2" s="429"/>
      <c r="K2" s="429"/>
      <c r="L2" s="429"/>
      <c r="M2" s="429"/>
      <c r="N2" s="429"/>
      <c r="O2" s="429"/>
      <c r="P2" s="429"/>
    </row>
    <row r="3" ht="38.25" spans="1:18">
      <c r="A3" s="395" t="s">
        <v>23</v>
      </c>
      <c r="B3" s="397" t="str">
        <f>'Aba Carregamento'!B25</f>
        <v>pisos acarpetados</v>
      </c>
      <c r="C3" s="398">
        <f>'Aba Carregamento'!D25</f>
        <v>1200</v>
      </c>
      <c r="D3" s="399">
        <f>'Aba Carregamento'!E25</f>
        <v>1033.84</v>
      </c>
      <c r="E3" s="395">
        <f>D3/C3</f>
        <v>0.861533333333333</v>
      </c>
      <c r="F3" s="400">
        <f t="shared" ref="F3:F19" si="0">TRUNC(E3,0)</f>
        <v>0</v>
      </c>
      <c r="G3" s="395">
        <f t="shared" ref="G3:G19" si="1">E3-F3</f>
        <v>0.861533333333333</v>
      </c>
      <c r="H3" s="395">
        <f t="shared" ref="H3:H19" si="2">G3*$C$23*60</f>
        <v>413.536</v>
      </c>
      <c r="I3" s="430">
        <f t="shared" ref="I3:I19" si="3">F3</f>
        <v>0</v>
      </c>
      <c r="J3" s="396" t="s">
        <v>229</v>
      </c>
      <c r="K3" s="430">
        <f t="shared" ref="K3:K19" si="4">$C$23</f>
        <v>8</v>
      </c>
      <c r="L3" s="396" t="s">
        <v>230</v>
      </c>
      <c r="M3" s="430">
        <v>1</v>
      </c>
      <c r="N3" s="396" t="s">
        <v>231</v>
      </c>
      <c r="O3" s="430">
        <f t="shared" ref="O3:O19" si="5">H3</f>
        <v>413.536</v>
      </c>
      <c r="P3" s="396" t="s">
        <v>232</v>
      </c>
      <c r="Q3" s="435"/>
      <c r="R3" s="436"/>
    </row>
    <row r="4" ht="38.25" spans="1:16">
      <c r="A4" s="395"/>
      <c r="B4" s="397" t="str">
        <f>'Aba Carregamento'!B26</f>
        <v>pisos frios</v>
      </c>
      <c r="C4" s="398">
        <f>'Aba Carregamento'!D26</f>
        <v>3600</v>
      </c>
      <c r="D4" s="399">
        <f>'Aba Carregamento'!E26</f>
        <v>9507.89</v>
      </c>
      <c r="E4" s="395">
        <f>D4/C4</f>
        <v>2.64108055555556</v>
      </c>
      <c r="F4" s="400">
        <f t="shared" si="0"/>
        <v>2</v>
      </c>
      <c r="G4" s="395">
        <f t="shared" si="1"/>
        <v>0.641080555555555</v>
      </c>
      <c r="H4" s="395">
        <f t="shared" si="2"/>
        <v>307.718666666667</v>
      </c>
      <c r="I4" s="430">
        <f t="shared" si="3"/>
        <v>2</v>
      </c>
      <c r="J4" s="396" t="s">
        <v>229</v>
      </c>
      <c r="K4" s="430">
        <f t="shared" si="4"/>
        <v>8</v>
      </c>
      <c r="L4" s="396" t="s">
        <v>230</v>
      </c>
      <c r="M4" s="430">
        <v>1</v>
      </c>
      <c r="N4" s="396" t="s">
        <v>231</v>
      </c>
      <c r="O4" s="430">
        <f t="shared" si="5"/>
        <v>307.718666666667</v>
      </c>
      <c r="P4" s="396" t="s">
        <v>232</v>
      </c>
    </row>
    <row r="5" ht="38.25" spans="1:16">
      <c r="A5" s="395"/>
      <c r="B5" s="397" t="str">
        <f>'Aba Carregamento'!B27</f>
        <v>laboratórios</v>
      </c>
      <c r="C5" s="398">
        <f>'Aba Carregamento'!D27</f>
        <v>600</v>
      </c>
      <c r="D5" s="399">
        <f>'Aba Carregamento'!E27</f>
        <v>2609.18</v>
      </c>
      <c r="E5" s="395">
        <f t="shared" ref="E5:E14" si="6">D5/C5</f>
        <v>4.34863333333333</v>
      </c>
      <c r="F5" s="400">
        <f t="shared" si="0"/>
        <v>4</v>
      </c>
      <c r="G5" s="395">
        <f t="shared" si="1"/>
        <v>0.348633333333333</v>
      </c>
      <c r="H5" s="395">
        <f t="shared" si="2"/>
        <v>167.344</v>
      </c>
      <c r="I5" s="430">
        <f t="shared" si="3"/>
        <v>4</v>
      </c>
      <c r="J5" s="396" t="s">
        <v>229</v>
      </c>
      <c r="K5" s="430">
        <f t="shared" si="4"/>
        <v>8</v>
      </c>
      <c r="L5" s="396" t="s">
        <v>230</v>
      </c>
      <c r="M5" s="430">
        <v>1</v>
      </c>
      <c r="N5" s="396" t="s">
        <v>231</v>
      </c>
      <c r="O5" s="430">
        <f t="shared" si="5"/>
        <v>167.344</v>
      </c>
      <c r="P5" s="396" t="s">
        <v>232</v>
      </c>
    </row>
    <row r="6" ht="38.25" spans="1:16">
      <c r="A6" s="395"/>
      <c r="B6" s="397" t="str">
        <f>'Aba Carregamento'!B28</f>
        <v>pisos vinílicos</v>
      </c>
      <c r="C6" s="398">
        <f>'Aba Carregamento'!D28</f>
        <v>1950</v>
      </c>
      <c r="D6" s="399">
        <f>'Aba Carregamento'!E28</f>
        <v>4812.8</v>
      </c>
      <c r="E6" s="395">
        <f t="shared" si="6"/>
        <v>2.46810256410256</v>
      </c>
      <c r="F6" s="400">
        <f t="shared" si="0"/>
        <v>2</v>
      </c>
      <c r="G6" s="395">
        <f t="shared" si="1"/>
        <v>0.468102564102564</v>
      </c>
      <c r="H6" s="395">
        <f t="shared" si="2"/>
        <v>224.689230769231</v>
      </c>
      <c r="I6" s="430">
        <f t="shared" si="3"/>
        <v>2</v>
      </c>
      <c r="J6" s="396" t="s">
        <v>229</v>
      </c>
      <c r="K6" s="430">
        <f t="shared" si="4"/>
        <v>8</v>
      </c>
      <c r="L6" s="396" t="s">
        <v>230</v>
      </c>
      <c r="M6" s="430">
        <v>1</v>
      </c>
      <c r="N6" s="396" t="s">
        <v>231</v>
      </c>
      <c r="O6" s="430">
        <f t="shared" si="5"/>
        <v>224.689230769231</v>
      </c>
      <c r="P6" s="396" t="s">
        <v>232</v>
      </c>
    </row>
    <row r="7" ht="38.25" spans="1:16">
      <c r="A7" s="395"/>
      <c r="B7" s="397" t="str">
        <f>'Aba Carregamento'!B29</f>
        <v>banheiros</v>
      </c>
      <c r="C7" s="398">
        <f>'Aba Carregamento'!D29</f>
        <v>0</v>
      </c>
      <c r="D7" s="399">
        <f>'Aba Carregamento'!E29</f>
        <v>0</v>
      </c>
      <c r="E7" s="400">
        <f>TRUNC(D7,0)</f>
        <v>0</v>
      </c>
      <c r="F7" s="400">
        <f t="shared" si="0"/>
        <v>0</v>
      </c>
      <c r="G7" s="395">
        <f t="shared" si="1"/>
        <v>0</v>
      </c>
      <c r="H7" s="395">
        <f t="shared" si="2"/>
        <v>0</v>
      </c>
      <c r="I7" s="430">
        <f t="shared" si="3"/>
        <v>0</v>
      </c>
      <c r="J7" s="396" t="s">
        <v>229</v>
      </c>
      <c r="K7" s="430">
        <f t="shared" si="4"/>
        <v>8</v>
      </c>
      <c r="L7" s="396" t="s">
        <v>230</v>
      </c>
      <c r="M7" s="430">
        <v>1</v>
      </c>
      <c r="N7" s="396" t="s">
        <v>231</v>
      </c>
      <c r="O7" s="430">
        <f t="shared" si="5"/>
        <v>0</v>
      </c>
      <c r="P7" s="396" t="s">
        <v>232</v>
      </c>
    </row>
    <row r="8" ht="38.25" spans="1:16">
      <c r="A8" s="395"/>
      <c r="B8" s="397" t="str">
        <f>'Aba Carregamento'!B30</f>
        <v>áreas com espaços livres - saguão, hall e salão</v>
      </c>
      <c r="C8" s="398">
        <f>'Aba Carregamento'!D30</f>
        <v>3000</v>
      </c>
      <c r="D8" s="399">
        <f>'Aba Carregamento'!E30</f>
        <v>909.25</v>
      </c>
      <c r="E8" s="395">
        <f t="shared" si="6"/>
        <v>0.303083333333333</v>
      </c>
      <c r="F8" s="400">
        <f t="shared" si="0"/>
        <v>0</v>
      </c>
      <c r="G8" s="395">
        <f t="shared" si="1"/>
        <v>0.303083333333333</v>
      </c>
      <c r="H8" s="395">
        <f t="shared" si="2"/>
        <v>145.48</v>
      </c>
      <c r="I8" s="430">
        <f t="shared" si="3"/>
        <v>0</v>
      </c>
      <c r="J8" s="396" t="s">
        <v>229</v>
      </c>
      <c r="K8" s="430">
        <f t="shared" si="4"/>
        <v>8</v>
      </c>
      <c r="L8" s="396" t="s">
        <v>230</v>
      </c>
      <c r="M8" s="430">
        <v>1</v>
      </c>
      <c r="N8" s="396" t="s">
        <v>231</v>
      </c>
      <c r="O8" s="430">
        <f t="shared" si="5"/>
        <v>145.48</v>
      </c>
      <c r="P8" s="396" t="s">
        <v>232</v>
      </c>
    </row>
    <row r="9" ht="38.25" spans="1:16">
      <c r="A9" s="395" t="s">
        <v>31</v>
      </c>
      <c r="B9" s="397" t="str">
        <f>'Aba Carregamento'!B31</f>
        <v>pisos pavimentados adjacentes/contíguos às edificações</v>
      </c>
      <c r="C9" s="398">
        <f>'Aba Carregamento'!D31</f>
        <v>2700</v>
      </c>
      <c r="D9" s="399">
        <f>'Aba Carregamento'!E31</f>
        <v>741.56</v>
      </c>
      <c r="E9" s="395">
        <f t="shared" si="6"/>
        <v>0.274651851851852</v>
      </c>
      <c r="F9" s="400">
        <f t="shared" si="0"/>
        <v>0</v>
      </c>
      <c r="G9" s="395">
        <f t="shared" si="1"/>
        <v>0.274651851851852</v>
      </c>
      <c r="H9" s="395">
        <f t="shared" si="2"/>
        <v>131.832888888889</v>
      </c>
      <c r="I9" s="430">
        <f t="shared" si="3"/>
        <v>0</v>
      </c>
      <c r="J9" s="396" t="s">
        <v>229</v>
      </c>
      <c r="K9" s="430">
        <f t="shared" si="4"/>
        <v>8</v>
      </c>
      <c r="L9" s="396" t="s">
        <v>230</v>
      </c>
      <c r="M9" s="430">
        <v>1</v>
      </c>
      <c r="N9" s="396" t="s">
        <v>231</v>
      </c>
      <c r="O9" s="430">
        <f t="shared" si="5"/>
        <v>131.832888888889</v>
      </c>
      <c r="P9" s="396" t="s">
        <v>232</v>
      </c>
    </row>
    <row r="10" ht="38.25" spans="1:16">
      <c r="A10" s="395"/>
      <c r="B10" s="397" t="str">
        <f>'Aba Carregamento'!B32</f>
        <v>varrição de passeios e arruamentos</v>
      </c>
      <c r="C10" s="398">
        <f>'Aba Carregamento'!D32</f>
        <v>9000</v>
      </c>
      <c r="D10" s="399">
        <f>'Aba Carregamento'!E32</f>
        <v>0</v>
      </c>
      <c r="E10" s="395">
        <f t="shared" si="6"/>
        <v>0</v>
      </c>
      <c r="F10" s="400">
        <f t="shared" si="0"/>
        <v>0</v>
      </c>
      <c r="G10" s="395">
        <f t="shared" si="1"/>
        <v>0</v>
      </c>
      <c r="H10" s="395">
        <f t="shared" si="2"/>
        <v>0</v>
      </c>
      <c r="I10" s="430">
        <f t="shared" si="3"/>
        <v>0</v>
      </c>
      <c r="J10" s="396" t="s">
        <v>229</v>
      </c>
      <c r="K10" s="430">
        <f t="shared" si="4"/>
        <v>8</v>
      </c>
      <c r="L10" s="396" t="s">
        <v>230</v>
      </c>
      <c r="M10" s="430">
        <v>1</v>
      </c>
      <c r="N10" s="396" t="s">
        <v>231</v>
      </c>
      <c r="O10" s="430">
        <f t="shared" si="5"/>
        <v>0</v>
      </c>
      <c r="P10" s="396" t="s">
        <v>232</v>
      </c>
    </row>
    <row r="11" ht="38.25" spans="1:16">
      <c r="A11" s="395"/>
      <c r="B11" s="397" t="str">
        <f>'Aba Carregamento'!B33</f>
        <v>pátios e áreas verdes com alta frequência</v>
      </c>
      <c r="C11" s="398">
        <f>'Aba Carregamento'!D33</f>
        <v>2700</v>
      </c>
      <c r="D11" s="399">
        <f>'Aba Carregamento'!E33</f>
        <v>0</v>
      </c>
      <c r="E11" s="395">
        <f t="shared" si="6"/>
        <v>0</v>
      </c>
      <c r="F11" s="400">
        <f t="shared" si="0"/>
        <v>0</v>
      </c>
      <c r="G11" s="395">
        <f t="shared" si="1"/>
        <v>0</v>
      </c>
      <c r="H11" s="395">
        <f t="shared" si="2"/>
        <v>0</v>
      </c>
      <c r="I11" s="430">
        <f t="shared" si="3"/>
        <v>0</v>
      </c>
      <c r="J11" s="396" t="s">
        <v>229</v>
      </c>
      <c r="K11" s="430">
        <f t="shared" si="4"/>
        <v>8</v>
      </c>
      <c r="L11" s="396" t="s">
        <v>230</v>
      </c>
      <c r="M11" s="430">
        <v>1</v>
      </c>
      <c r="N11" s="396" t="s">
        <v>231</v>
      </c>
      <c r="O11" s="430">
        <f t="shared" si="5"/>
        <v>0</v>
      </c>
      <c r="P11" s="396" t="s">
        <v>232</v>
      </c>
    </row>
    <row r="12" ht="38.25" spans="1:16">
      <c r="A12" s="395"/>
      <c r="B12" s="397" t="str">
        <f>'Aba Carregamento'!B34</f>
        <v>pátios e áreas verdes com média frequência</v>
      </c>
      <c r="C12" s="398">
        <f>'Aba Carregamento'!D34</f>
        <v>2700</v>
      </c>
      <c r="D12" s="399">
        <f>'Aba Carregamento'!E34</f>
        <v>0</v>
      </c>
      <c r="E12" s="395">
        <f t="shared" si="6"/>
        <v>0</v>
      </c>
      <c r="F12" s="400">
        <f t="shared" si="0"/>
        <v>0</v>
      </c>
      <c r="G12" s="395">
        <f t="shared" si="1"/>
        <v>0</v>
      </c>
      <c r="H12" s="395">
        <f t="shared" si="2"/>
        <v>0</v>
      </c>
      <c r="I12" s="430">
        <f t="shared" si="3"/>
        <v>0</v>
      </c>
      <c r="J12" s="396" t="s">
        <v>229</v>
      </c>
      <c r="K12" s="430">
        <f t="shared" si="4"/>
        <v>8</v>
      </c>
      <c r="L12" s="396" t="s">
        <v>230</v>
      </c>
      <c r="M12" s="430">
        <v>1</v>
      </c>
      <c r="N12" s="396" t="s">
        <v>231</v>
      </c>
      <c r="O12" s="430">
        <f t="shared" si="5"/>
        <v>0</v>
      </c>
      <c r="P12" s="396" t="s">
        <v>232</v>
      </c>
    </row>
    <row r="13" ht="38.25" spans="1:16">
      <c r="A13" s="395"/>
      <c r="B13" s="397" t="str">
        <f>'Aba Carregamento'!B35</f>
        <v>pátios e áreas verdes com baixa frequência</v>
      </c>
      <c r="C13" s="398">
        <f>'Aba Carregamento'!D35</f>
        <v>3000</v>
      </c>
      <c r="D13" s="399">
        <f>'Aba Carregamento'!E35</f>
        <v>494.55</v>
      </c>
      <c r="E13" s="395">
        <f t="shared" si="6"/>
        <v>0.16485</v>
      </c>
      <c r="F13" s="400">
        <f t="shared" si="0"/>
        <v>0</v>
      </c>
      <c r="G13" s="395">
        <f t="shared" si="1"/>
        <v>0.16485</v>
      </c>
      <c r="H13" s="395">
        <f t="shared" si="2"/>
        <v>79.128</v>
      </c>
      <c r="I13" s="430">
        <f t="shared" si="3"/>
        <v>0</v>
      </c>
      <c r="J13" s="396" t="s">
        <v>229</v>
      </c>
      <c r="K13" s="430">
        <f t="shared" si="4"/>
        <v>8</v>
      </c>
      <c r="L13" s="396" t="s">
        <v>230</v>
      </c>
      <c r="M13" s="430">
        <v>1</v>
      </c>
      <c r="N13" s="396" t="s">
        <v>231</v>
      </c>
      <c r="O13" s="430">
        <f t="shared" si="5"/>
        <v>79.128</v>
      </c>
      <c r="P13" s="396" t="s">
        <v>232</v>
      </c>
    </row>
    <row r="14" ht="38.25" spans="1:16">
      <c r="A14" s="395"/>
      <c r="B14" s="397" t="str">
        <f>'Aba Carregamento'!B36</f>
        <v>coleta de detritos em pátios e áreas verdes com frequência diária</v>
      </c>
      <c r="C14" s="398">
        <f>'Aba Carregamento'!D36</f>
        <v>100000</v>
      </c>
      <c r="D14" s="399">
        <f>'Aba Carregamento'!E36</f>
        <v>0</v>
      </c>
      <c r="E14" s="395">
        <f t="shared" si="6"/>
        <v>0</v>
      </c>
      <c r="F14" s="400">
        <f t="shared" si="0"/>
        <v>0</v>
      </c>
      <c r="G14" s="395">
        <f t="shared" si="1"/>
        <v>0</v>
      </c>
      <c r="H14" s="395">
        <f t="shared" si="2"/>
        <v>0</v>
      </c>
      <c r="I14" s="430">
        <f t="shared" si="3"/>
        <v>0</v>
      </c>
      <c r="J14" s="396" t="s">
        <v>229</v>
      </c>
      <c r="K14" s="430">
        <f t="shared" si="4"/>
        <v>8</v>
      </c>
      <c r="L14" s="396" t="s">
        <v>230</v>
      </c>
      <c r="M14" s="430">
        <v>1</v>
      </c>
      <c r="N14" s="396" t="s">
        <v>231</v>
      </c>
      <c r="O14" s="430">
        <f t="shared" si="5"/>
        <v>0</v>
      </c>
      <c r="P14" s="396" t="s">
        <v>232</v>
      </c>
    </row>
    <row r="15" ht="38.85" customHeight="1" spans="1:16">
      <c r="A15" s="396" t="s">
        <v>38</v>
      </c>
      <c r="B15" s="397" t="str">
        <f>'Aba Carregamento'!B37</f>
        <v>face externa com exposição a situação de risco</v>
      </c>
      <c r="C15" s="398">
        <f>'Aba Carregamento'!D37</f>
        <v>160</v>
      </c>
      <c r="D15" s="399">
        <f>'Aba Carregamento'!E37</f>
        <v>735.34</v>
      </c>
      <c r="E15" s="395">
        <f t="shared" ref="E15:E17" si="7">(D15/C15)*(16/188.76)</f>
        <v>0.389563466836194</v>
      </c>
      <c r="F15" s="400">
        <f t="shared" si="0"/>
        <v>0</v>
      </c>
      <c r="G15" s="395">
        <f t="shared" si="1"/>
        <v>0.389563466836194</v>
      </c>
      <c r="H15" s="395">
        <f t="shared" si="2"/>
        <v>186.990464081373</v>
      </c>
      <c r="I15" s="430">
        <f t="shared" si="3"/>
        <v>0</v>
      </c>
      <c r="J15" s="396" t="s">
        <v>229</v>
      </c>
      <c r="K15" s="430">
        <f t="shared" si="4"/>
        <v>8</v>
      </c>
      <c r="L15" s="396" t="s">
        <v>230</v>
      </c>
      <c r="M15" s="430">
        <v>1</v>
      </c>
      <c r="N15" s="396" t="s">
        <v>231</v>
      </c>
      <c r="O15" s="430">
        <f t="shared" si="5"/>
        <v>186.990464081373</v>
      </c>
      <c r="P15" s="396" t="s">
        <v>232</v>
      </c>
    </row>
    <row r="16" ht="38.25" spans="1:16">
      <c r="A16" s="396"/>
      <c r="B16" s="397" t="str">
        <f>'Aba Carregamento'!B38</f>
        <v>face externa sem exposição a situação de risco</v>
      </c>
      <c r="C16" s="398">
        <f>'Aba Carregamento'!D38</f>
        <v>500</v>
      </c>
      <c r="D16" s="399">
        <f>'Aba Carregamento'!E38</f>
        <v>760.32</v>
      </c>
      <c r="E16" s="395">
        <f t="shared" si="7"/>
        <v>0.128895104895105</v>
      </c>
      <c r="F16" s="400">
        <f t="shared" si="0"/>
        <v>0</v>
      </c>
      <c r="G16" s="395">
        <f t="shared" si="1"/>
        <v>0.128895104895105</v>
      </c>
      <c r="H16" s="395">
        <f t="shared" si="2"/>
        <v>61.8696503496504</v>
      </c>
      <c r="I16" s="430">
        <f t="shared" si="3"/>
        <v>0</v>
      </c>
      <c r="J16" s="396" t="s">
        <v>229</v>
      </c>
      <c r="K16" s="430">
        <f t="shared" si="4"/>
        <v>8</v>
      </c>
      <c r="L16" s="396" t="s">
        <v>230</v>
      </c>
      <c r="M16" s="430">
        <v>1</v>
      </c>
      <c r="N16" s="396" t="s">
        <v>231</v>
      </c>
      <c r="O16" s="430">
        <f t="shared" si="5"/>
        <v>61.8696503496504</v>
      </c>
      <c r="P16" s="396" t="s">
        <v>232</v>
      </c>
    </row>
    <row r="17" ht="38.25" spans="1:16">
      <c r="A17" s="396"/>
      <c r="B17" s="397" t="str">
        <f>'Aba Carregamento'!B39</f>
        <v>face interna</v>
      </c>
      <c r="C17" s="398">
        <f>'Aba Carregamento'!D39</f>
        <v>500</v>
      </c>
      <c r="D17" s="399">
        <f>'Aba Carregamento'!E39</f>
        <v>1863.68</v>
      </c>
      <c r="E17" s="395">
        <f t="shared" si="7"/>
        <v>0.315944903581267</v>
      </c>
      <c r="F17" s="400">
        <f t="shared" si="0"/>
        <v>0</v>
      </c>
      <c r="G17" s="395">
        <f t="shared" si="1"/>
        <v>0.315944903581267</v>
      </c>
      <c r="H17" s="395">
        <f t="shared" si="2"/>
        <v>151.653553719008</v>
      </c>
      <c r="I17" s="430">
        <f t="shared" si="3"/>
        <v>0</v>
      </c>
      <c r="J17" s="396" t="s">
        <v>229</v>
      </c>
      <c r="K17" s="430">
        <f t="shared" si="4"/>
        <v>8</v>
      </c>
      <c r="L17" s="396" t="s">
        <v>230</v>
      </c>
      <c r="M17" s="430">
        <v>1</v>
      </c>
      <c r="N17" s="396" t="s">
        <v>231</v>
      </c>
      <c r="O17" s="430">
        <f t="shared" si="5"/>
        <v>151.653553719008</v>
      </c>
      <c r="P17" s="396" t="s">
        <v>232</v>
      </c>
    </row>
    <row r="18" ht="38.25" spans="1:16">
      <c r="A18" s="402" t="s">
        <v>42</v>
      </c>
      <c r="B18" s="397" t="str">
        <f>'Aba Carregamento'!B40</f>
        <v>fachadas envidraçadas</v>
      </c>
      <c r="C18" s="398">
        <f>'Aba Carregamento'!D40</f>
        <v>160</v>
      </c>
      <c r="D18" s="399">
        <f>'Aba Carregamento'!E40</f>
        <v>428</v>
      </c>
      <c r="E18" s="395">
        <f>(D18/C18)*(8/1132.6)</f>
        <v>0.0188945788451351</v>
      </c>
      <c r="F18" s="400">
        <f t="shared" si="0"/>
        <v>0</v>
      </c>
      <c r="G18" s="395">
        <f t="shared" si="1"/>
        <v>0.0188945788451351</v>
      </c>
      <c r="H18" s="395">
        <f t="shared" si="2"/>
        <v>9.06939784566485</v>
      </c>
      <c r="I18" s="430">
        <f t="shared" si="3"/>
        <v>0</v>
      </c>
      <c r="J18" s="396" t="s">
        <v>229</v>
      </c>
      <c r="K18" s="430">
        <f t="shared" si="4"/>
        <v>8</v>
      </c>
      <c r="L18" s="396" t="s">
        <v>230</v>
      </c>
      <c r="M18" s="430">
        <v>1</v>
      </c>
      <c r="N18" s="396" t="s">
        <v>231</v>
      </c>
      <c r="O18" s="430">
        <f t="shared" si="5"/>
        <v>9.06939784566485</v>
      </c>
      <c r="P18" s="396" t="s">
        <v>232</v>
      </c>
    </row>
    <row r="19" ht="38.25" spans="1:16">
      <c r="A19" s="402" t="s">
        <v>44</v>
      </c>
      <c r="B19" s="397" t="str">
        <f>'Aba Carregamento'!B41</f>
        <v>áreas hospitalares e assemelhadas</v>
      </c>
      <c r="C19" s="398">
        <f>'Aba Carregamento'!D41</f>
        <v>0</v>
      </c>
      <c r="D19" s="399">
        <f>'Aba Carregamento'!E41</f>
        <v>0</v>
      </c>
      <c r="E19" s="395">
        <f>0</f>
        <v>0</v>
      </c>
      <c r="F19" s="400">
        <f t="shared" si="0"/>
        <v>0</v>
      </c>
      <c r="G19" s="395">
        <f t="shared" si="1"/>
        <v>0</v>
      </c>
      <c r="H19" s="395">
        <f t="shared" si="2"/>
        <v>0</v>
      </c>
      <c r="I19" s="430">
        <f t="shared" si="3"/>
        <v>0</v>
      </c>
      <c r="J19" s="396" t="s">
        <v>229</v>
      </c>
      <c r="K19" s="430">
        <f t="shared" si="4"/>
        <v>8</v>
      </c>
      <c r="L19" s="396" t="s">
        <v>230</v>
      </c>
      <c r="M19" s="430">
        <v>1</v>
      </c>
      <c r="N19" s="396" t="s">
        <v>231</v>
      </c>
      <c r="O19" s="430">
        <f t="shared" si="5"/>
        <v>0</v>
      </c>
      <c r="P19" s="396" t="s">
        <v>232</v>
      </c>
    </row>
    <row r="20" s="391" customFormat="1" ht="15.75" spans="1:16">
      <c r="A20" s="403"/>
      <c r="B20" s="403"/>
      <c r="C20" s="404"/>
      <c r="D20" s="405">
        <f>SUM(D3:D19)</f>
        <v>23896.41</v>
      </c>
      <c r="E20" s="406"/>
      <c r="F20" s="407"/>
      <c r="G20" s="406"/>
      <c r="H20" s="406"/>
      <c r="I20" s="431"/>
      <c r="J20" s="404"/>
      <c r="K20" s="431"/>
      <c r="L20" s="404"/>
      <c r="M20" s="431"/>
      <c r="N20" s="404"/>
      <c r="O20" s="431"/>
      <c r="P20" s="404"/>
    </row>
    <row r="21" s="392" customFormat="1" ht="53.1" customHeight="1" spans="1:18">
      <c r="A21" s="408" t="s">
        <v>233</v>
      </c>
      <c r="B21" s="408"/>
      <c r="C21" s="408"/>
      <c r="D21" s="408"/>
      <c r="E21" s="395">
        <f>SUM(E3:E19)</f>
        <v>11.9152330256677</v>
      </c>
      <c r="F21" s="409">
        <f>TRUNC(E21,0)</f>
        <v>11</v>
      </c>
      <c r="G21" s="395">
        <f>E21-F21</f>
        <v>0.91523302566767</v>
      </c>
      <c r="H21" s="395">
        <f>G21*$C$23*60</f>
        <v>439.311852320481</v>
      </c>
      <c r="I21" s="432">
        <f>F21</f>
        <v>11</v>
      </c>
      <c r="J21" s="396" t="s">
        <v>229</v>
      </c>
      <c r="K21" s="430">
        <f>$C$23</f>
        <v>8</v>
      </c>
      <c r="L21" s="396" t="s">
        <v>230</v>
      </c>
      <c r="M21" s="432">
        <v>1</v>
      </c>
      <c r="N21" s="396" t="s">
        <v>231</v>
      </c>
      <c r="O21" s="432">
        <f>H21</f>
        <v>439.311852320481</v>
      </c>
      <c r="P21" s="396" t="s">
        <v>232</v>
      </c>
      <c r="Q21" s="437" t="s">
        <v>234</v>
      </c>
      <c r="R21" s="438"/>
    </row>
    <row r="22" s="392" customFormat="1" ht="15.75" spans="1:16">
      <c r="A22" s="403"/>
      <c r="B22" s="403"/>
      <c r="C22" s="403"/>
      <c r="D22" s="410"/>
      <c r="E22" s="411"/>
      <c r="F22" s="412"/>
      <c r="G22" s="411"/>
      <c r="H22" s="411"/>
      <c r="I22" s="433"/>
      <c r="J22" s="404"/>
      <c r="K22" s="431"/>
      <c r="L22" s="404"/>
      <c r="M22" s="431"/>
      <c r="N22" s="404"/>
      <c r="O22" s="433"/>
      <c r="P22" s="404"/>
    </row>
    <row r="23" ht="20.65" customHeight="1" spans="1:14">
      <c r="A23" s="413" t="s">
        <v>235</v>
      </c>
      <c r="B23" s="413"/>
      <c r="C23" s="414">
        <f>'Aba Carregamento'!B79</f>
        <v>8</v>
      </c>
      <c r="D23" s="415" t="s">
        <v>236</v>
      </c>
      <c r="E23" s="416" t="s">
        <v>237</v>
      </c>
      <c r="F23" s="416"/>
      <c r="G23" s="416"/>
      <c r="H23" s="416"/>
      <c r="I23" s="416"/>
      <c r="J23" s="416"/>
      <c r="K23" s="416"/>
      <c r="L23" s="434">
        <f>F21+G21</f>
        <v>11.9152330256677</v>
      </c>
      <c r="M23" s="434"/>
      <c r="N23" s="434"/>
    </row>
    <row r="24" ht="15" spans="1:8">
      <c r="A24" s="417"/>
      <c r="B24" s="417"/>
      <c r="C24" s="418"/>
      <c r="D24" s="418"/>
      <c r="E24" s="418"/>
      <c r="F24" s="46"/>
      <c r="G24" s="418"/>
      <c r="H24" s="418"/>
    </row>
    <row r="25" ht="19.35" customHeight="1" spans="1:16">
      <c r="A25" s="419" t="s">
        <v>238</v>
      </c>
      <c r="B25" s="419"/>
      <c r="C25" s="419"/>
      <c r="D25" s="419"/>
      <c r="E25" s="419"/>
      <c r="F25" s="419"/>
      <c r="G25" s="419"/>
      <c r="H25" s="419"/>
      <c r="I25" s="419"/>
      <c r="J25" s="419"/>
      <c r="K25" s="419"/>
      <c r="L25" s="419"/>
      <c r="M25" s="419"/>
      <c r="N25" s="419"/>
      <c r="O25" s="419"/>
      <c r="P25" s="419"/>
    </row>
    <row r="26" s="46" customFormat="1" ht="19.35" customHeight="1" spans="1:16">
      <c r="A26" s="419" t="s">
        <v>239</v>
      </c>
      <c r="B26" s="419"/>
      <c r="C26" s="419"/>
      <c r="D26" s="419"/>
      <c r="E26" s="419"/>
      <c r="F26" s="419"/>
      <c r="G26" s="419"/>
      <c r="H26" s="419"/>
      <c r="I26" s="419"/>
      <c r="J26" s="419"/>
      <c r="K26" s="419"/>
      <c r="L26" s="419"/>
      <c r="M26" s="419"/>
      <c r="N26" s="419"/>
      <c r="O26" s="419"/>
      <c r="P26" s="419"/>
    </row>
    <row r="27" s="46" customFormat="1" ht="35.85" customHeight="1" spans="1:19">
      <c r="A27" s="420" t="s">
        <v>240</v>
      </c>
      <c r="B27" s="420"/>
      <c r="C27" s="420"/>
      <c r="D27" s="420"/>
      <c r="E27" s="420"/>
      <c r="F27" s="420"/>
      <c r="G27" s="420"/>
      <c r="H27" s="420"/>
      <c r="I27" s="420"/>
      <c r="J27" s="420"/>
      <c r="K27" s="420"/>
      <c r="L27" s="420"/>
      <c r="M27" s="420"/>
      <c r="N27" s="420"/>
      <c r="O27" s="420"/>
      <c r="P27" s="420"/>
      <c r="Q27" s="425"/>
      <c r="R27" s="425"/>
      <c r="S27" s="425"/>
    </row>
    <row r="28" s="46" customFormat="1" ht="36.4" customHeight="1" spans="1:19">
      <c r="A28" s="420" t="s">
        <v>241</v>
      </c>
      <c r="B28" s="420"/>
      <c r="C28" s="420"/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0"/>
      <c r="P28" s="420"/>
      <c r="Q28" s="425"/>
      <c r="R28" s="425"/>
      <c r="S28" s="425"/>
    </row>
    <row r="29" s="46" customFormat="1" ht="36.4" customHeight="1" spans="1:19">
      <c r="A29" s="420" t="s">
        <v>242</v>
      </c>
      <c r="B29" s="420"/>
      <c r="C29" s="420"/>
      <c r="D29" s="420"/>
      <c r="E29" s="420"/>
      <c r="F29" s="420"/>
      <c r="G29" s="420"/>
      <c r="H29" s="420"/>
      <c r="I29" s="420"/>
      <c r="J29" s="420"/>
      <c r="K29" s="420"/>
      <c r="L29" s="420"/>
      <c r="M29" s="420"/>
      <c r="N29" s="420"/>
      <c r="O29" s="420"/>
      <c r="P29" s="420"/>
      <c r="Q29" s="425"/>
      <c r="R29" s="425"/>
      <c r="S29" s="425"/>
    </row>
    <row r="30" s="46" customFormat="1" ht="19.35" customHeight="1" spans="1:19">
      <c r="A30" s="420"/>
      <c r="B30" s="420"/>
      <c r="C30" s="420"/>
      <c r="D30" s="420"/>
      <c r="E30" s="420"/>
      <c r="F30" s="420"/>
      <c r="G30" s="420"/>
      <c r="H30" s="420"/>
      <c r="I30" s="420"/>
      <c r="J30" s="420"/>
      <c r="K30" s="420"/>
      <c r="L30" s="420"/>
      <c r="M30" s="420"/>
      <c r="N30" s="420"/>
      <c r="O30" s="420"/>
      <c r="P30" s="420"/>
      <c r="Q30" s="425"/>
      <c r="R30" s="425"/>
      <c r="S30" s="425"/>
    </row>
    <row r="31" s="46" customFormat="1" ht="19.35" customHeight="1" spans="1:19">
      <c r="A31" s="421" t="s">
        <v>243</v>
      </c>
      <c r="B31" s="421"/>
      <c r="C31" s="421"/>
      <c r="D31" s="421"/>
      <c r="E31" s="421"/>
      <c r="F31" s="421"/>
      <c r="G31" s="421"/>
      <c r="H31" s="421"/>
      <c r="I31" s="421"/>
      <c r="J31" s="421"/>
      <c r="K31" s="421"/>
      <c r="L31" s="421"/>
      <c r="M31" s="421"/>
      <c r="N31" s="421"/>
      <c r="O31" s="421"/>
      <c r="P31" s="421"/>
      <c r="Q31" s="425"/>
      <c r="R31" s="425"/>
      <c r="S31" s="425"/>
    </row>
    <row r="32" s="46" customFormat="1" ht="36.4" customHeight="1" spans="1:19">
      <c r="A32" s="421" t="s">
        <v>244</v>
      </c>
      <c r="B32" s="421"/>
      <c r="C32" s="421"/>
      <c r="D32" s="421"/>
      <c r="E32" s="421"/>
      <c r="F32" s="421"/>
      <c r="G32" s="421"/>
      <c r="H32" s="421"/>
      <c r="I32" s="421"/>
      <c r="J32" s="421"/>
      <c r="K32" s="421"/>
      <c r="L32" s="421"/>
      <c r="M32" s="421"/>
      <c r="N32" s="421"/>
      <c r="O32" s="421"/>
      <c r="P32" s="421"/>
      <c r="Q32" s="425"/>
      <c r="R32" s="425"/>
      <c r="S32" s="425"/>
    </row>
    <row r="33" s="46" customFormat="1" ht="18" spans="1:19">
      <c r="A33" s="422" t="s">
        <v>245</v>
      </c>
      <c r="B33" s="422"/>
      <c r="C33" s="422"/>
      <c r="D33" s="422"/>
      <c r="E33" s="422"/>
      <c r="F33" s="422"/>
      <c r="G33" s="422"/>
      <c r="H33" s="422"/>
      <c r="I33" s="422"/>
      <c r="J33" s="422"/>
      <c r="K33" s="422"/>
      <c r="L33" s="422"/>
      <c r="M33" s="422"/>
      <c r="N33" s="422"/>
      <c r="O33" s="422"/>
      <c r="P33" s="422"/>
      <c r="Q33" s="425"/>
      <c r="R33" s="425"/>
      <c r="S33" s="425"/>
    </row>
    <row r="34" s="46" customFormat="1" ht="18" spans="1:19">
      <c r="A34" s="423" t="s">
        <v>246</v>
      </c>
      <c r="B34" s="423"/>
      <c r="C34" s="423"/>
      <c r="D34" s="423"/>
      <c r="E34" s="423"/>
      <c r="F34" s="423"/>
      <c r="G34" s="423"/>
      <c r="H34" s="423"/>
      <c r="I34" s="423"/>
      <c r="J34" s="423"/>
      <c r="K34" s="423"/>
      <c r="L34" s="423"/>
      <c r="M34" s="423"/>
      <c r="N34" s="423"/>
      <c r="O34" s="423"/>
      <c r="P34" s="423"/>
      <c r="Q34" s="425"/>
      <c r="R34" s="425"/>
      <c r="S34" s="425"/>
    </row>
    <row r="35" s="46" customFormat="1" ht="36.4" customHeight="1" spans="1:19">
      <c r="A35" s="424" t="s">
        <v>247</v>
      </c>
      <c r="B35" s="424"/>
      <c r="C35" s="424"/>
      <c r="D35" s="424"/>
      <c r="E35" s="424"/>
      <c r="F35" s="424"/>
      <c r="G35" s="424"/>
      <c r="H35" s="424"/>
      <c r="I35" s="424"/>
      <c r="J35" s="424"/>
      <c r="K35" s="424"/>
      <c r="L35" s="424"/>
      <c r="M35" s="424"/>
      <c r="N35" s="424"/>
      <c r="O35" s="424"/>
      <c r="P35" s="424"/>
      <c r="Q35" s="425"/>
      <c r="R35" s="425"/>
      <c r="S35" s="425"/>
    </row>
    <row r="36" s="46" customFormat="1" ht="18" spans="1:19">
      <c r="A36" s="425"/>
      <c r="B36" s="425"/>
      <c r="C36" s="425"/>
      <c r="D36" s="425"/>
      <c r="E36" s="426"/>
      <c r="F36" s="425"/>
      <c r="G36" s="426"/>
      <c r="H36" s="426"/>
      <c r="I36" s="425"/>
      <c r="J36" s="425"/>
      <c r="K36" s="425"/>
      <c r="L36" s="425"/>
      <c r="M36" s="425"/>
      <c r="N36" s="425"/>
      <c r="O36" s="425"/>
      <c r="P36" s="425"/>
      <c r="Q36" s="425"/>
      <c r="R36" s="425"/>
      <c r="S36" s="425"/>
    </row>
    <row r="37" s="46" customFormat="1" ht="18" spans="1:19">
      <c r="A37" s="425"/>
      <c r="B37" s="425"/>
      <c r="C37" s="425"/>
      <c r="D37" s="425"/>
      <c r="E37" s="426"/>
      <c r="F37" s="425"/>
      <c r="G37" s="426"/>
      <c r="H37" s="426"/>
      <c r="I37" s="425"/>
      <c r="J37" s="425"/>
      <c r="K37" s="425"/>
      <c r="L37" s="425"/>
      <c r="M37" s="425"/>
      <c r="N37" s="425"/>
      <c r="O37" s="425"/>
      <c r="P37" s="425"/>
      <c r="Q37" s="425"/>
      <c r="R37" s="425"/>
      <c r="S37" s="425"/>
    </row>
    <row r="38" s="46" customFormat="1" ht="19.35" customHeight="1" spans="1:19">
      <c r="A38" s="427" t="s">
        <v>248</v>
      </c>
      <c r="B38" s="427"/>
      <c r="C38" s="427"/>
      <c r="D38" s="427"/>
      <c r="E38" s="427"/>
      <c r="F38" s="427"/>
      <c r="G38" s="427"/>
      <c r="H38" s="427"/>
      <c r="I38" s="427"/>
      <c r="J38" s="427"/>
      <c r="K38" s="427"/>
      <c r="L38" s="427"/>
      <c r="M38" s="427"/>
      <c r="N38" s="427"/>
      <c r="O38" s="427"/>
      <c r="P38" s="427"/>
      <c r="Q38" s="427"/>
      <c r="R38" s="427"/>
      <c r="S38" s="427"/>
    </row>
    <row r="39" s="46" customFormat="1" ht="18" spans="1:19">
      <c r="A39" s="425"/>
      <c r="B39" s="425"/>
      <c r="C39" s="425"/>
      <c r="D39" s="425"/>
      <c r="E39" s="426"/>
      <c r="F39" s="425"/>
      <c r="G39" s="426"/>
      <c r="H39" s="426"/>
      <c r="I39" s="425"/>
      <c r="J39" s="425"/>
      <c r="K39" s="425"/>
      <c r="L39" s="425"/>
      <c r="M39" s="425"/>
      <c r="N39" s="425"/>
      <c r="O39" s="425"/>
      <c r="P39" s="425"/>
      <c r="Q39" s="425"/>
      <c r="R39" s="425"/>
      <c r="S39" s="425"/>
    </row>
    <row r="40" s="46" customFormat="1" ht="36.4" customHeight="1" spans="1:19">
      <c r="A40" s="427" t="s">
        <v>249</v>
      </c>
      <c r="B40" s="427"/>
      <c r="C40" s="427"/>
      <c r="D40" s="427"/>
      <c r="E40" s="427"/>
      <c r="F40" s="427"/>
      <c r="G40" s="427"/>
      <c r="H40" s="427"/>
      <c r="I40" s="427"/>
      <c r="J40" s="427"/>
      <c r="K40" s="427"/>
      <c r="L40" s="427"/>
      <c r="M40" s="427"/>
      <c r="N40" s="427"/>
      <c r="O40" s="427"/>
      <c r="P40" s="427"/>
      <c r="Q40" s="427"/>
      <c r="R40" s="427"/>
      <c r="S40" s="427"/>
    </row>
    <row r="41" s="46" customFormat="1" ht="18" spans="1:19">
      <c r="A41" s="425"/>
      <c r="B41" s="425"/>
      <c r="C41" s="425"/>
      <c r="D41" s="425"/>
      <c r="E41" s="426"/>
      <c r="F41" s="425"/>
      <c r="G41" s="426"/>
      <c r="H41" s="426"/>
      <c r="I41" s="425"/>
      <c r="J41" s="425"/>
      <c r="K41" s="425"/>
      <c r="L41" s="425"/>
      <c r="M41" s="425"/>
      <c r="N41" s="425"/>
      <c r="O41" s="425"/>
      <c r="P41" s="425"/>
      <c r="Q41" s="425"/>
      <c r="R41" s="425"/>
      <c r="S41" s="425"/>
    </row>
    <row r="42" s="46" customFormat="1" ht="19.35" customHeight="1" spans="1:19">
      <c r="A42" s="427" t="s">
        <v>250</v>
      </c>
      <c r="B42" s="427"/>
      <c r="C42" s="427"/>
      <c r="D42" s="427"/>
      <c r="E42" s="427"/>
      <c r="F42" s="427"/>
      <c r="G42" s="427"/>
      <c r="H42" s="427"/>
      <c r="I42" s="427"/>
      <c r="J42" s="427"/>
      <c r="K42" s="427"/>
      <c r="L42" s="427"/>
      <c r="M42" s="427"/>
      <c r="N42" s="427"/>
      <c r="O42" s="427"/>
      <c r="P42" s="427"/>
      <c r="Q42" s="427"/>
      <c r="R42" s="427"/>
      <c r="S42" s="427"/>
    </row>
    <row r="43" s="46" customFormat="1" ht="19.35" customHeight="1" spans="1:19">
      <c r="A43" s="427" t="s">
        <v>251</v>
      </c>
      <c r="B43" s="427"/>
      <c r="C43" s="427"/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  <c r="P43" s="425"/>
      <c r="Q43" s="425"/>
      <c r="R43" s="425"/>
      <c r="S43" s="425"/>
    </row>
    <row r="44" s="46" customFormat="1" ht="35.85" customHeight="1" spans="1:19">
      <c r="A44" s="428" t="s">
        <v>252</v>
      </c>
      <c r="B44" s="428"/>
      <c r="C44" s="428"/>
      <c r="D44" s="428"/>
      <c r="E44" s="428"/>
      <c r="F44" s="428"/>
      <c r="G44" s="428"/>
      <c r="H44" s="428"/>
      <c r="I44" s="428"/>
      <c r="J44" s="428"/>
      <c r="K44" s="428"/>
      <c r="L44" s="428"/>
      <c r="M44" s="428"/>
      <c r="N44" s="428"/>
      <c r="O44" s="428"/>
      <c r="P44" s="428"/>
      <c r="Q44" s="425"/>
      <c r="R44" s="425"/>
      <c r="S44" s="425"/>
    </row>
  </sheetData>
  <mergeCells count="25">
    <mergeCell ref="A1:P1"/>
    <mergeCell ref="I2:P2"/>
    <mergeCell ref="A21:D21"/>
    <mergeCell ref="A23:B23"/>
    <mergeCell ref="E23:K23"/>
    <mergeCell ref="L23:N23"/>
    <mergeCell ref="A25:P25"/>
    <mergeCell ref="A26:P26"/>
    <mergeCell ref="A27:P27"/>
    <mergeCell ref="A28:P28"/>
    <mergeCell ref="A29:P29"/>
    <mergeCell ref="A30:P30"/>
    <mergeCell ref="A31:P31"/>
    <mergeCell ref="A32:P32"/>
    <mergeCell ref="A33:P33"/>
    <mergeCell ref="A34:P34"/>
    <mergeCell ref="A35:P35"/>
    <mergeCell ref="A38:S38"/>
    <mergeCell ref="A40:S40"/>
    <mergeCell ref="A42:S42"/>
    <mergeCell ref="A43:O43"/>
    <mergeCell ref="A44:P44"/>
    <mergeCell ref="A3:A8"/>
    <mergeCell ref="A9:A14"/>
    <mergeCell ref="A15:A17"/>
  </mergeCells>
  <printOptions horizontalCentered="1"/>
  <pageMargins left="0.393055555555556" right="0.393055555555556" top="0.393055555555556" bottom="0.393055555555556" header="0.786805555555556" footer="0.786805555555556"/>
  <pageSetup paperSize="9" scale="60" orientation="landscape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9" tint="-0.249977111117893"/>
  </sheetPr>
  <dimension ref="A1:S45"/>
  <sheetViews>
    <sheetView showGridLines="0" workbookViewId="0">
      <selection activeCell="F9" sqref="F9"/>
    </sheetView>
  </sheetViews>
  <sheetFormatPr defaultColWidth="9" defaultRowHeight="12.75"/>
  <cols>
    <col min="1" max="1" width="26.1428571428571" style="393" customWidth="1"/>
    <col min="2" max="2" width="20" style="393" customWidth="1"/>
    <col min="3" max="3" width="12" style="393" customWidth="1"/>
    <col min="4" max="4" width="12.2857142857143" style="393" customWidth="1"/>
    <col min="5" max="5" width="12.8571428571429" style="390" customWidth="1"/>
    <col min="6" max="6" width="12.8571428571429" style="393" customWidth="1"/>
    <col min="7" max="7" width="11" style="390" customWidth="1"/>
    <col min="8" max="8" width="13.5714285714286" style="390" customWidth="1"/>
    <col min="9" max="9" width="5.85714285714286" style="393" customWidth="1"/>
    <col min="10" max="10" width="11.2857142857143" style="393" customWidth="1"/>
    <col min="11" max="11" width="3" style="393" customWidth="1"/>
    <col min="12" max="12" width="6.57142857142857" style="393" customWidth="1"/>
    <col min="13" max="13" width="2.42857142857143" style="393" customWidth="1"/>
    <col min="14" max="14" width="11.1428571428571" style="393" customWidth="1"/>
    <col min="15" max="15" width="10" style="393" customWidth="1"/>
    <col min="16" max="16" width="9.57142857142857" style="393" customWidth="1"/>
    <col min="17" max="17" width="11.7142857142857" style="393" customWidth="1"/>
    <col min="18" max="256" width="9.14285714285714" style="393"/>
    <col min="257" max="257" width="26.1428571428571" style="393" customWidth="1"/>
    <col min="258" max="258" width="20" style="393" customWidth="1"/>
    <col min="259" max="259" width="12" style="393" customWidth="1"/>
    <col min="260" max="260" width="12.2857142857143" style="393" customWidth="1"/>
    <col min="261" max="262" width="12.8571428571429" style="393" customWidth="1"/>
    <col min="263" max="263" width="11" style="393" customWidth="1"/>
    <col min="264" max="264" width="13.5714285714286" style="393" customWidth="1"/>
    <col min="265" max="265" width="5.85714285714286" style="393" customWidth="1"/>
    <col min="266" max="266" width="11.2857142857143" style="393" customWidth="1"/>
    <col min="267" max="267" width="3" style="393" customWidth="1"/>
    <col min="268" max="268" width="6.57142857142857" style="393" customWidth="1"/>
    <col min="269" max="269" width="2.42857142857143" style="393" customWidth="1"/>
    <col min="270" max="270" width="11.1428571428571" style="393" customWidth="1"/>
    <col min="271" max="271" width="10" style="393" customWidth="1"/>
    <col min="272" max="272" width="9.57142857142857" style="393" customWidth="1"/>
    <col min="273" max="273" width="11.7142857142857" style="393" customWidth="1"/>
    <col min="274" max="512" width="9.14285714285714" style="393"/>
    <col min="513" max="513" width="26.1428571428571" style="393" customWidth="1"/>
    <col min="514" max="514" width="20" style="393" customWidth="1"/>
    <col min="515" max="515" width="12" style="393" customWidth="1"/>
    <col min="516" max="516" width="12.2857142857143" style="393" customWidth="1"/>
    <col min="517" max="518" width="12.8571428571429" style="393" customWidth="1"/>
    <col min="519" max="519" width="11" style="393" customWidth="1"/>
    <col min="520" max="520" width="13.5714285714286" style="393" customWidth="1"/>
    <col min="521" max="521" width="5.85714285714286" style="393" customWidth="1"/>
    <col min="522" max="522" width="11.2857142857143" style="393" customWidth="1"/>
    <col min="523" max="523" width="3" style="393" customWidth="1"/>
    <col min="524" max="524" width="6.57142857142857" style="393" customWidth="1"/>
    <col min="525" max="525" width="2.42857142857143" style="393" customWidth="1"/>
    <col min="526" max="526" width="11.1428571428571" style="393" customWidth="1"/>
    <col min="527" max="527" width="10" style="393" customWidth="1"/>
    <col min="528" max="528" width="9.57142857142857" style="393" customWidth="1"/>
    <col min="529" max="529" width="11.7142857142857" style="393" customWidth="1"/>
    <col min="530" max="768" width="9.14285714285714" style="393"/>
    <col min="769" max="769" width="26.1428571428571" style="393" customWidth="1"/>
    <col min="770" max="770" width="20" style="393" customWidth="1"/>
    <col min="771" max="771" width="12" style="393" customWidth="1"/>
    <col min="772" max="772" width="12.2857142857143" style="393" customWidth="1"/>
    <col min="773" max="774" width="12.8571428571429" style="393" customWidth="1"/>
    <col min="775" max="775" width="11" style="393" customWidth="1"/>
    <col min="776" max="776" width="13.5714285714286" style="393" customWidth="1"/>
    <col min="777" max="777" width="5.85714285714286" style="393" customWidth="1"/>
    <col min="778" max="778" width="11.2857142857143" style="393" customWidth="1"/>
    <col min="779" max="779" width="3" style="393" customWidth="1"/>
    <col min="780" max="780" width="6.57142857142857" style="393" customWidth="1"/>
    <col min="781" max="781" width="2.42857142857143" style="393" customWidth="1"/>
    <col min="782" max="782" width="11.1428571428571" style="393" customWidth="1"/>
    <col min="783" max="783" width="10" style="393" customWidth="1"/>
    <col min="784" max="784" width="9.57142857142857" style="393" customWidth="1"/>
    <col min="785" max="785" width="11.7142857142857" style="393" customWidth="1"/>
    <col min="786" max="1024" width="9.14285714285714" style="393"/>
    <col min="1025" max="1025" width="26.1428571428571" style="393" customWidth="1"/>
    <col min="1026" max="1026" width="20" style="393" customWidth="1"/>
    <col min="1027" max="1027" width="12" style="393" customWidth="1"/>
    <col min="1028" max="1028" width="12.2857142857143" style="393" customWidth="1"/>
    <col min="1029" max="1030" width="12.8571428571429" style="393" customWidth="1"/>
    <col min="1031" max="1031" width="11" style="393" customWidth="1"/>
    <col min="1032" max="1032" width="13.5714285714286" style="393" customWidth="1"/>
    <col min="1033" max="1033" width="5.85714285714286" style="393" customWidth="1"/>
    <col min="1034" max="1034" width="11.2857142857143" style="393" customWidth="1"/>
    <col min="1035" max="1035" width="3" style="393" customWidth="1"/>
    <col min="1036" max="1036" width="6.57142857142857" style="393" customWidth="1"/>
    <col min="1037" max="1037" width="2.42857142857143" style="393" customWidth="1"/>
    <col min="1038" max="1038" width="11.1428571428571" style="393" customWidth="1"/>
    <col min="1039" max="1039" width="10" style="393" customWidth="1"/>
    <col min="1040" max="1040" width="9.57142857142857" style="393" customWidth="1"/>
    <col min="1041" max="1041" width="11.7142857142857" style="393" customWidth="1"/>
    <col min="1042" max="1280" width="9.14285714285714" style="393"/>
    <col min="1281" max="1281" width="26.1428571428571" style="393" customWidth="1"/>
    <col min="1282" max="1282" width="20" style="393" customWidth="1"/>
    <col min="1283" max="1283" width="12" style="393" customWidth="1"/>
    <col min="1284" max="1284" width="12.2857142857143" style="393" customWidth="1"/>
    <col min="1285" max="1286" width="12.8571428571429" style="393" customWidth="1"/>
    <col min="1287" max="1287" width="11" style="393" customWidth="1"/>
    <col min="1288" max="1288" width="13.5714285714286" style="393" customWidth="1"/>
    <col min="1289" max="1289" width="5.85714285714286" style="393" customWidth="1"/>
    <col min="1290" max="1290" width="11.2857142857143" style="393" customWidth="1"/>
    <col min="1291" max="1291" width="3" style="393" customWidth="1"/>
    <col min="1292" max="1292" width="6.57142857142857" style="393" customWidth="1"/>
    <col min="1293" max="1293" width="2.42857142857143" style="393" customWidth="1"/>
    <col min="1294" max="1294" width="11.1428571428571" style="393" customWidth="1"/>
    <col min="1295" max="1295" width="10" style="393" customWidth="1"/>
    <col min="1296" max="1296" width="9.57142857142857" style="393" customWidth="1"/>
    <col min="1297" max="1297" width="11.7142857142857" style="393" customWidth="1"/>
    <col min="1298" max="1536" width="9.14285714285714" style="393"/>
    <col min="1537" max="1537" width="26.1428571428571" style="393" customWidth="1"/>
    <col min="1538" max="1538" width="20" style="393" customWidth="1"/>
    <col min="1539" max="1539" width="12" style="393" customWidth="1"/>
    <col min="1540" max="1540" width="12.2857142857143" style="393" customWidth="1"/>
    <col min="1541" max="1542" width="12.8571428571429" style="393" customWidth="1"/>
    <col min="1543" max="1543" width="11" style="393" customWidth="1"/>
    <col min="1544" max="1544" width="13.5714285714286" style="393" customWidth="1"/>
    <col min="1545" max="1545" width="5.85714285714286" style="393" customWidth="1"/>
    <col min="1546" max="1546" width="11.2857142857143" style="393" customWidth="1"/>
    <col min="1547" max="1547" width="3" style="393" customWidth="1"/>
    <col min="1548" max="1548" width="6.57142857142857" style="393" customWidth="1"/>
    <col min="1549" max="1549" width="2.42857142857143" style="393" customWidth="1"/>
    <col min="1550" max="1550" width="11.1428571428571" style="393" customWidth="1"/>
    <col min="1551" max="1551" width="10" style="393" customWidth="1"/>
    <col min="1552" max="1552" width="9.57142857142857" style="393" customWidth="1"/>
    <col min="1553" max="1553" width="11.7142857142857" style="393" customWidth="1"/>
    <col min="1554" max="1792" width="9.14285714285714" style="393"/>
    <col min="1793" max="1793" width="26.1428571428571" style="393" customWidth="1"/>
    <col min="1794" max="1794" width="20" style="393" customWidth="1"/>
    <col min="1795" max="1795" width="12" style="393" customWidth="1"/>
    <col min="1796" max="1796" width="12.2857142857143" style="393" customWidth="1"/>
    <col min="1797" max="1798" width="12.8571428571429" style="393" customWidth="1"/>
    <col min="1799" max="1799" width="11" style="393" customWidth="1"/>
    <col min="1800" max="1800" width="13.5714285714286" style="393" customWidth="1"/>
    <col min="1801" max="1801" width="5.85714285714286" style="393" customWidth="1"/>
    <col min="1802" max="1802" width="11.2857142857143" style="393" customWidth="1"/>
    <col min="1803" max="1803" width="3" style="393" customWidth="1"/>
    <col min="1804" max="1804" width="6.57142857142857" style="393" customWidth="1"/>
    <col min="1805" max="1805" width="2.42857142857143" style="393" customWidth="1"/>
    <col min="1806" max="1806" width="11.1428571428571" style="393" customWidth="1"/>
    <col min="1807" max="1807" width="10" style="393" customWidth="1"/>
    <col min="1808" max="1808" width="9.57142857142857" style="393" customWidth="1"/>
    <col min="1809" max="1809" width="11.7142857142857" style="393" customWidth="1"/>
    <col min="1810" max="2048" width="9.14285714285714" style="393"/>
    <col min="2049" max="2049" width="26.1428571428571" style="393" customWidth="1"/>
    <col min="2050" max="2050" width="20" style="393" customWidth="1"/>
    <col min="2051" max="2051" width="12" style="393" customWidth="1"/>
    <col min="2052" max="2052" width="12.2857142857143" style="393" customWidth="1"/>
    <col min="2053" max="2054" width="12.8571428571429" style="393" customWidth="1"/>
    <col min="2055" max="2055" width="11" style="393" customWidth="1"/>
    <col min="2056" max="2056" width="13.5714285714286" style="393" customWidth="1"/>
    <col min="2057" max="2057" width="5.85714285714286" style="393" customWidth="1"/>
    <col min="2058" max="2058" width="11.2857142857143" style="393" customWidth="1"/>
    <col min="2059" max="2059" width="3" style="393" customWidth="1"/>
    <col min="2060" max="2060" width="6.57142857142857" style="393" customWidth="1"/>
    <col min="2061" max="2061" width="2.42857142857143" style="393" customWidth="1"/>
    <col min="2062" max="2062" width="11.1428571428571" style="393" customWidth="1"/>
    <col min="2063" max="2063" width="10" style="393" customWidth="1"/>
    <col min="2064" max="2064" width="9.57142857142857" style="393" customWidth="1"/>
    <col min="2065" max="2065" width="11.7142857142857" style="393" customWidth="1"/>
    <col min="2066" max="2304" width="9.14285714285714" style="393"/>
    <col min="2305" max="2305" width="26.1428571428571" style="393" customWidth="1"/>
    <col min="2306" max="2306" width="20" style="393" customWidth="1"/>
    <col min="2307" max="2307" width="12" style="393" customWidth="1"/>
    <col min="2308" max="2308" width="12.2857142857143" style="393" customWidth="1"/>
    <col min="2309" max="2310" width="12.8571428571429" style="393" customWidth="1"/>
    <col min="2311" max="2311" width="11" style="393" customWidth="1"/>
    <col min="2312" max="2312" width="13.5714285714286" style="393" customWidth="1"/>
    <col min="2313" max="2313" width="5.85714285714286" style="393" customWidth="1"/>
    <col min="2314" max="2314" width="11.2857142857143" style="393" customWidth="1"/>
    <col min="2315" max="2315" width="3" style="393" customWidth="1"/>
    <col min="2316" max="2316" width="6.57142857142857" style="393" customWidth="1"/>
    <col min="2317" max="2317" width="2.42857142857143" style="393" customWidth="1"/>
    <col min="2318" max="2318" width="11.1428571428571" style="393" customWidth="1"/>
    <col min="2319" max="2319" width="10" style="393" customWidth="1"/>
    <col min="2320" max="2320" width="9.57142857142857" style="393" customWidth="1"/>
    <col min="2321" max="2321" width="11.7142857142857" style="393" customWidth="1"/>
    <col min="2322" max="2560" width="9.14285714285714" style="393"/>
    <col min="2561" max="2561" width="26.1428571428571" style="393" customWidth="1"/>
    <col min="2562" max="2562" width="20" style="393" customWidth="1"/>
    <col min="2563" max="2563" width="12" style="393" customWidth="1"/>
    <col min="2564" max="2564" width="12.2857142857143" style="393" customWidth="1"/>
    <col min="2565" max="2566" width="12.8571428571429" style="393" customWidth="1"/>
    <col min="2567" max="2567" width="11" style="393" customWidth="1"/>
    <col min="2568" max="2568" width="13.5714285714286" style="393" customWidth="1"/>
    <col min="2569" max="2569" width="5.85714285714286" style="393" customWidth="1"/>
    <col min="2570" max="2570" width="11.2857142857143" style="393" customWidth="1"/>
    <col min="2571" max="2571" width="3" style="393" customWidth="1"/>
    <col min="2572" max="2572" width="6.57142857142857" style="393" customWidth="1"/>
    <col min="2573" max="2573" width="2.42857142857143" style="393" customWidth="1"/>
    <col min="2574" max="2574" width="11.1428571428571" style="393" customWidth="1"/>
    <col min="2575" max="2575" width="10" style="393" customWidth="1"/>
    <col min="2576" max="2576" width="9.57142857142857" style="393" customWidth="1"/>
    <col min="2577" max="2577" width="11.7142857142857" style="393" customWidth="1"/>
    <col min="2578" max="2816" width="9.14285714285714" style="393"/>
    <col min="2817" max="2817" width="26.1428571428571" style="393" customWidth="1"/>
    <col min="2818" max="2818" width="20" style="393" customWidth="1"/>
    <col min="2819" max="2819" width="12" style="393" customWidth="1"/>
    <col min="2820" max="2820" width="12.2857142857143" style="393" customWidth="1"/>
    <col min="2821" max="2822" width="12.8571428571429" style="393" customWidth="1"/>
    <col min="2823" max="2823" width="11" style="393" customWidth="1"/>
    <col min="2824" max="2824" width="13.5714285714286" style="393" customWidth="1"/>
    <col min="2825" max="2825" width="5.85714285714286" style="393" customWidth="1"/>
    <col min="2826" max="2826" width="11.2857142857143" style="393" customWidth="1"/>
    <col min="2827" max="2827" width="3" style="393" customWidth="1"/>
    <col min="2828" max="2828" width="6.57142857142857" style="393" customWidth="1"/>
    <col min="2829" max="2829" width="2.42857142857143" style="393" customWidth="1"/>
    <col min="2830" max="2830" width="11.1428571428571" style="393" customWidth="1"/>
    <col min="2831" max="2831" width="10" style="393" customWidth="1"/>
    <col min="2832" max="2832" width="9.57142857142857" style="393" customWidth="1"/>
    <col min="2833" max="2833" width="11.7142857142857" style="393" customWidth="1"/>
    <col min="2834" max="3072" width="9.14285714285714" style="393"/>
    <col min="3073" max="3073" width="26.1428571428571" style="393" customWidth="1"/>
    <col min="3074" max="3074" width="20" style="393" customWidth="1"/>
    <col min="3075" max="3075" width="12" style="393" customWidth="1"/>
    <col min="3076" max="3076" width="12.2857142857143" style="393" customWidth="1"/>
    <col min="3077" max="3078" width="12.8571428571429" style="393" customWidth="1"/>
    <col min="3079" max="3079" width="11" style="393" customWidth="1"/>
    <col min="3080" max="3080" width="13.5714285714286" style="393" customWidth="1"/>
    <col min="3081" max="3081" width="5.85714285714286" style="393" customWidth="1"/>
    <col min="3082" max="3082" width="11.2857142857143" style="393" customWidth="1"/>
    <col min="3083" max="3083" width="3" style="393" customWidth="1"/>
    <col min="3084" max="3084" width="6.57142857142857" style="393" customWidth="1"/>
    <col min="3085" max="3085" width="2.42857142857143" style="393" customWidth="1"/>
    <col min="3086" max="3086" width="11.1428571428571" style="393" customWidth="1"/>
    <col min="3087" max="3087" width="10" style="393" customWidth="1"/>
    <col min="3088" max="3088" width="9.57142857142857" style="393" customWidth="1"/>
    <col min="3089" max="3089" width="11.7142857142857" style="393" customWidth="1"/>
    <col min="3090" max="3328" width="9.14285714285714" style="393"/>
    <col min="3329" max="3329" width="26.1428571428571" style="393" customWidth="1"/>
    <col min="3330" max="3330" width="20" style="393" customWidth="1"/>
    <col min="3331" max="3331" width="12" style="393" customWidth="1"/>
    <col min="3332" max="3332" width="12.2857142857143" style="393" customWidth="1"/>
    <col min="3333" max="3334" width="12.8571428571429" style="393" customWidth="1"/>
    <col min="3335" max="3335" width="11" style="393" customWidth="1"/>
    <col min="3336" max="3336" width="13.5714285714286" style="393" customWidth="1"/>
    <col min="3337" max="3337" width="5.85714285714286" style="393" customWidth="1"/>
    <col min="3338" max="3338" width="11.2857142857143" style="393" customWidth="1"/>
    <col min="3339" max="3339" width="3" style="393" customWidth="1"/>
    <col min="3340" max="3340" width="6.57142857142857" style="393" customWidth="1"/>
    <col min="3341" max="3341" width="2.42857142857143" style="393" customWidth="1"/>
    <col min="3342" max="3342" width="11.1428571428571" style="393" customWidth="1"/>
    <col min="3343" max="3343" width="10" style="393" customWidth="1"/>
    <col min="3344" max="3344" width="9.57142857142857" style="393" customWidth="1"/>
    <col min="3345" max="3345" width="11.7142857142857" style="393" customWidth="1"/>
    <col min="3346" max="3584" width="9.14285714285714" style="393"/>
    <col min="3585" max="3585" width="26.1428571428571" style="393" customWidth="1"/>
    <col min="3586" max="3586" width="20" style="393" customWidth="1"/>
    <col min="3587" max="3587" width="12" style="393" customWidth="1"/>
    <col min="3588" max="3588" width="12.2857142857143" style="393" customWidth="1"/>
    <col min="3589" max="3590" width="12.8571428571429" style="393" customWidth="1"/>
    <col min="3591" max="3591" width="11" style="393" customWidth="1"/>
    <col min="3592" max="3592" width="13.5714285714286" style="393" customWidth="1"/>
    <col min="3593" max="3593" width="5.85714285714286" style="393" customWidth="1"/>
    <col min="3594" max="3594" width="11.2857142857143" style="393" customWidth="1"/>
    <col min="3595" max="3595" width="3" style="393" customWidth="1"/>
    <col min="3596" max="3596" width="6.57142857142857" style="393" customWidth="1"/>
    <col min="3597" max="3597" width="2.42857142857143" style="393" customWidth="1"/>
    <col min="3598" max="3598" width="11.1428571428571" style="393" customWidth="1"/>
    <col min="3599" max="3599" width="10" style="393" customWidth="1"/>
    <col min="3600" max="3600" width="9.57142857142857" style="393" customWidth="1"/>
    <col min="3601" max="3601" width="11.7142857142857" style="393" customWidth="1"/>
    <col min="3602" max="3840" width="9.14285714285714" style="393"/>
    <col min="3841" max="3841" width="26.1428571428571" style="393" customWidth="1"/>
    <col min="3842" max="3842" width="20" style="393" customWidth="1"/>
    <col min="3843" max="3843" width="12" style="393" customWidth="1"/>
    <col min="3844" max="3844" width="12.2857142857143" style="393" customWidth="1"/>
    <col min="3845" max="3846" width="12.8571428571429" style="393" customWidth="1"/>
    <col min="3847" max="3847" width="11" style="393" customWidth="1"/>
    <col min="3848" max="3848" width="13.5714285714286" style="393" customWidth="1"/>
    <col min="3849" max="3849" width="5.85714285714286" style="393" customWidth="1"/>
    <col min="3850" max="3850" width="11.2857142857143" style="393" customWidth="1"/>
    <col min="3851" max="3851" width="3" style="393" customWidth="1"/>
    <col min="3852" max="3852" width="6.57142857142857" style="393" customWidth="1"/>
    <col min="3853" max="3853" width="2.42857142857143" style="393" customWidth="1"/>
    <col min="3854" max="3854" width="11.1428571428571" style="393" customWidth="1"/>
    <col min="3855" max="3855" width="10" style="393" customWidth="1"/>
    <col min="3856" max="3856" width="9.57142857142857" style="393" customWidth="1"/>
    <col min="3857" max="3857" width="11.7142857142857" style="393" customWidth="1"/>
    <col min="3858" max="4096" width="9.14285714285714" style="393"/>
    <col min="4097" max="4097" width="26.1428571428571" style="393" customWidth="1"/>
    <col min="4098" max="4098" width="20" style="393" customWidth="1"/>
    <col min="4099" max="4099" width="12" style="393" customWidth="1"/>
    <col min="4100" max="4100" width="12.2857142857143" style="393" customWidth="1"/>
    <col min="4101" max="4102" width="12.8571428571429" style="393" customWidth="1"/>
    <col min="4103" max="4103" width="11" style="393" customWidth="1"/>
    <col min="4104" max="4104" width="13.5714285714286" style="393" customWidth="1"/>
    <col min="4105" max="4105" width="5.85714285714286" style="393" customWidth="1"/>
    <col min="4106" max="4106" width="11.2857142857143" style="393" customWidth="1"/>
    <col min="4107" max="4107" width="3" style="393" customWidth="1"/>
    <col min="4108" max="4108" width="6.57142857142857" style="393" customWidth="1"/>
    <col min="4109" max="4109" width="2.42857142857143" style="393" customWidth="1"/>
    <col min="4110" max="4110" width="11.1428571428571" style="393" customWidth="1"/>
    <col min="4111" max="4111" width="10" style="393" customWidth="1"/>
    <col min="4112" max="4112" width="9.57142857142857" style="393" customWidth="1"/>
    <col min="4113" max="4113" width="11.7142857142857" style="393" customWidth="1"/>
    <col min="4114" max="4352" width="9.14285714285714" style="393"/>
    <col min="4353" max="4353" width="26.1428571428571" style="393" customWidth="1"/>
    <col min="4354" max="4354" width="20" style="393" customWidth="1"/>
    <col min="4355" max="4355" width="12" style="393" customWidth="1"/>
    <col min="4356" max="4356" width="12.2857142857143" style="393" customWidth="1"/>
    <col min="4357" max="4358" width="12.8571428571429" style="393" customWidth="1"/>
    <col min="4359" max="4359" width="11" style="393" customWidth="1"/>
    <col min="4360" max="4360" width="13.5714285714286" style="393" customWidth="1"/>
    <col min="4361" max="4361" width="5.85714285714286" style="393" customWidth="1"/>
    <col min="4362" max="4362" width="11.2857142857143" style="393" customWidth="1"/>
    <col min="4363" max="4363" width="3" style="393" customWidth="1"/>
    <col min="4364" max="4364" width="6.57142857142857" style="393" customWidth="1"/>
    <col min="4365" max="4365" width="2.42857142857143" style="393" customWidth="1"/>
    <col min="4366" max="4366" width="11.1428571428571" style="393" customWidth="1"/>
    <col min="4367" max="4367" width="10" style="393" customWidth="1"/>
    <col min="4368" max="4368" width="9.57142857142857" style="393" customWidth="1"/>
    <col min="4369" max="4369" width="11.7142857142857" style="393" customWidth="1"/>
    <col min="4370" max="4608" width="9.14285714285714" style="393"/>
    <col min="4609" max="4609" width="26.1428571428571" style="393" customWidth="1"/>
    <col min="4610" max="4610" width="20" style="393" customWidth="1"/>
    <col min="4611" max="4611" width="12" style="393" customWidth="1"/>
    <col min="4612" max="4612" width="12.2857142857143" style="393" customWidth="1"/>
    <col min="4613" max="4614" width="12.8571428571429" style="393" customWidth="1"/>
    <col min="4615" max="4615" width="11" style="393" customWidth="1"/>
    <col min="4616" max="4616" width="13.5714285714286" style="393" customWidth="1"/>
    <col min="4617" max="4617" width="5.85714285714286" style="393" customWidth="1"/>
    <col min="4618" max="4618" width="11.2857142857143" style="393" customWidth="1"/>
    <col min="4619" max="4619" width="3" style="393" customWidth="1"/>
    <col min="4620" max="4620" width="6.57142857142857" style="393" customWidth="1"/>
    <col min="4621" max="4621" width="2.42857142857143" style="393" customWidth="1"/>
    <col min="4622" max="4622" width="11.1428571428571" style="393" customWidth="1"/>
    <col min="4623" max="4623" width="10" style="393" customWidth="1"/>
    <col min="4624" max="4624" width="9.57142857142857" style="393" customWidth="1"/>
    <col min="4625" max="4625" width="11.7142857142857" style="393" customWidth="1"/>
    <col min="4626" max="4864" width="9.14285714285714" style="393"/>
    <col min="4865" max="4865" width="26.1428571428571" style="393" customWidth="1"/>
    <col min="4866" max="4866" width="20" style="393" customWidth="1"/>
    <col min="4867" max="4867" width="12" style="393" customWidth="1"/>
    <col min="4868" max="4868" width="12.2857142857143" style="393" customWidth="1"/>
    <col min="4869" max="4870" width="12.8571428571429" style="393" customWidth="1"/>
    <col min="4871" max="4871" width="11" style="393" customWidth="1"/>
    <col min="4872" max="4872" width="13.5714285714286" style="393" customWidth="1"/>
    <col min="4873" max="4873" width="5.85714285714286" style="393" customWidth="1"/>
    <col min="4874" max="4874" width="11.2857142857143" style="393" customWidth="1"/>
    <col min="4875" max="4875" width="3" style="393" customWidth="1"/>
    <col min="4876" max="4876" width="6.57142857142857" style="393" customWidth="1"/>
    <col min="4877" max="4877" width="2.42857142857143" style="393" customWidth="1"/>
    <col min="4878" max="4878" width="11.1428571428571" style="393" customWidth="1"/>
    <col min="4879" max="4879" width="10" style="393" customWidth="1"/>
    <col min="4880" max="4880" width="9.57142857142857" style="393" customWidth="1"/>
    <col min="4881" max="4881" width="11.7142857142857" style="393" customWidth="1"/>
    <col min="4882" max="5120" width="9.14285714285714" style="393"/>
    <col min="5121" max="5121" width="26.1428571428571" style="393" customWidth="1"/>
    <col min="5122" max="5122" width="20" style="393" customWidth="1"/>
    <col min="5123" max="5123" width="12" style="393" customWidth="1"/>
    <col min="5124" max="5124" width="12.2857142857143" style="393" customWidth="1"/>
    <col min="5125" max="5126" width="12.8571428571429" style="393" customWidth="1"/>
    <col min="5127" max="5127" width="11" style="393" customWidth="1"/>
    <col min="5128" max="5128" width="13.5714285714286" style="393" customWidth="1"/>
    <col min="5129" max="5129" width="5.85714285714286" style="393" customWidth="1"/>
    <col min="5130" max="5130" width="11.2857142857143" style="393" customWidth="1"/>
    <col min="5131" max="5131" width="3" style="393" customWidth="1"/>
    <col min="5132" max="5132" width="6.57142857142857" style="393" customWidth="1"/>
    <col min="5133" max="5133" width="2.42857142857143" style="393" customWidth="1"/>
    <col min="5134" max="5134" width="11.1428571428571" style="393" customWidth="1"/>
    <col min="5135" max="5135" width="10" style="393" customWidth="1"/>
    <col min="5136" max="5136" width="9.57142857142857" style="393" customWidth="1"/>
    <col min="5137" max="5137" width="11.7142857142857" style="393" customWidth="1"/>
    <col min="5138" max="5376" width="9.14285714285714" style="393"/>
    <col min="5377" max="5377" width="26.1428571428571" style="393" customWidth="1"/>
    <col min="5378" max="5378" width="20" style="393" customWidth="1"/>
    <col min="5379" max="5379" width="12" style="393" customWidth="1"/>
    <col min="5380" max="5380" width="12.2857142857143" style="393" customWidth="1"/>
    <col min="5381" max="5382" width="12.8571428571429" style="393" customWidth="1"/>
    <col min="5383" max="5383" width="11" style="393" customWidth="1"/>
    <col min="5384" max="5384" width="13.5714285714286" style="393" customWidth="1"/>
    <col min="5385" max="5385" width="5.85714285714286" style="393" customWidth="1"/>
    <col min="5386" max="5386" width="11.2857142857143" style="393" customWidth="1"/>
    <col min="5387" max="5387" width="3" style="393" customWidth="1"/>
    <col min="5388" max="5388" width="6.57142857142857" style="393" customWidth="1"/>
    <col min="5389" max="5389" width="2.42857142857143" style="393" customWidth="1"/>
    <col min="5390" max="5390" width="11.1428571428571" style="393" customWidth="1"/>
    <col min="5391" max="5391" width="10" style="393" customWidth="1"/>
    <col min="5392" max="5392" width="9.57142857142857" style="393" customWidth="1"/>
    <col min="5393" max="5393" width="11.7142857142857" style="393" customWidth="1"/>
    <col min="5394" max="5632" width="9.14285714285714" style="393"/>
    <col min="5633" max="5633" width="26.1428571428571" style="393" customWidth="1"/>
    <col min="5634" max="5634" width="20" style="393" customWidth="1"/>
    <col min="5635" max="5635" width="12" style="393" customWidth="1"/>
    <col min="5636" max="5636" width="12.2857142857143" style="393" customWidth="1"/>
    <col min="5637" max="5638" width="12.8571428571429" style="393" customWidth="1"/>
    <col min="5639" max="5639" width="11" style="393" customWidth="1"/>
    <col min="5640" max="5640" width="13.5714285714286" style="393" customWidth="1"/>
    <col min="5641" max="5641" width="5.85714285714286" style="393" customWidth="1"/>
    <col min="5642" max="5642" width="11.2857142857143" style="393" customWidth="1"/>
    <col min="5643" max="5643" width="3" style="393" customWidth="1"/>
    <col min="5644" max="5644" width="6.57142857142857" style="393" customWidth="1"/>
    <col min="5645" max="5645" width="2.42857142857143" style="393" customWidth="1"/>
    <col min="5646" max="5646" width="11.1428571428571" style="393" customWidth="1"/>
    <col min="5647" max="5647" width="10" style="393" customWidth="1"/>
    <col min="5648" max="5648" width="9.57142857142857" style="393" customWidth="1"/>
    <col min="5649" max="5649" width="11.7142857142857" style="393" customWidth="1"/>
    <col min="5650" max="5888" width="9.14285714285714" style="393"/>
    <col min="5889" max="5889" width="26.1428571428571" style="393" customWidth="1"/>
    <col min="5890" max="5890" width="20" style="393" customWidth="1"/>
    <col min="5891" max="5891" width="12" style="393" customWidth="1"/>
    <col min="5892" max="5892" width="12.2857142857143" style="393" customWidth="1"/>
    <col min="5893" max="5894" width="12.8571428571429" style="393" customWidth="1"/>
    <col min="5895" max="5895" width="11" style="393" customWidth="1"/>
    <col min="5896" max="5896" width="13.5714285714286" style="393" customWidth="1"/>
    <col min="5897" max="5897" width="5.85714285714286" style="393" customWidth="1"/>
    <col min="5898" max="5898" width="11.2857142857143" style="393" customWidth="1"/>
    <col min="5899" max="5899" width="3" style="393" customWidth="1"/>
    <col min="5900" max="5900" width="6.57142857142857" style="393" customWidth="1"/>
    <col min="5901" max="5901" width="2.42857142857143" style="393" customWidth="1"/>
    <col min="5902" max="5902" width="11.1428571428571" style="393" customWidth="1"/>
    <col min="5903" max="5903" width="10" style="393" customWidth="1"/>
    <col min="5904" max="5904" width="9.57142857142857" style="393" customWidth="1"/>
    <col min="5905" max="5905" width="11.7142857142857" style="393" customWidth="1"/>
    <col min="5906" max="6144" width="9.14285714285714" style="393"/>
    <col min="6145" max="6145" width="26.1428571428571" style="393" customWidth="1"/>
    <col min="6146" max="6146" width="20" style="393" customWidth="1"/>
    <col min="6147" max="6147" width="12" style="393" customWidth="1"/>
    <col min="6148" max="6148" width="12.2857142857143" style="393" customWidth="1"/>
    <col min="6149" max="6150" width="12.8571428571429" style="393" customWidth="1"/>
    <col min="6151" max="6151" width="11" style="393" customWidth="1"/>
    <col min="6152" max="6152" width="13.5714285714286" style="393" customWidth="1"/>
    <col min="6153" max="6153" width="5.85714285714286" style="393" customWidth="1"/>
    <col min="6154" max="6154" width="11.2857142857143" style="393" customWidth="1"/>
    <col min="6155" max="6155" width="3" style="393" customWidth="1"/>
    <col min="6156" max="6156" width="6.57142857142857" style="393" customWidth="1"/>
    <col min="6157" max="6157" width="2.42857142857143" style="393" customWidth="1"/>
    <col min="6158" max="6158" width="11.1428571428571" style="393" customWidth="1"/>
    <col min="6159" max="6159" width="10" style="393" customWidth="1"/>
    <col min="6160" max="6160" width="9.57142857142857" style="393" customWidth="1"/>
    <col min="6161" max="6161" width="11.7142857142857" style="393" customWidth="1"/>
    <col min="6162" max="6400" width="9.14285714285714" style="393"/>
    <col min="6401" max="6401" width="26.1428571428571" style="393" customWidth="1"/>
    <col min="6402" max="6402" width="20" style="393" customWidth="1"/>
    <col min="6403" max="6403" width="12" style="393" customWidth="1"/>
    <col min="6404" max="6404" width="12.2857142857143" style="393" customWidth="1"/>
    <col min="6405" max="6406" width="12.8571428571429" style="393" customWidth="1"/>
    <col min="6407" max="6407" width="11" style="393" customWidth="1"/>
    <col min="6408" max="6408" width="13.5714285714286" style="393" customWidth="1"/>
    <col min="6409" max="6409" width="5.85714285714286" style="393" customWidth="1"/>
    <col min="6410" max="6410" width="11.2857142857143" style="393" customWidth="1"/>
    <col min="6411" max="6411" width="3" style="393" customWidth="1"/>
    <col min="6412" max="6412" width="6.57142857142857" style="393" customWidth="1"/>
    <col min="6413" max="6413" width="2.42857142857143" style="393" customWidth="1"/>
    <col min="6414" max="6414" width="11.1428571428571" style="393" customWidth="1"/>
    <col min="6415" max="6415" width="10" style="393" customWidth="1"/>
    <col min="6416" max="6416" width="9.57142857142857" style="393" customWidth="1"/>
    <col min="6417" max="6417" width="11.7142857142857" style="393" customWidth="1"/>
    <col min="6418" max="6656" width="9.14285714285714" style="393"/>
    <col min="6657" max="6657" width="26.1428571428571" style="393" customWidth="1"/>
    <col min="6658" max="6658" width="20" style="393" customWidth="1"/>
    <col min="6659" max="6659" width="12" style="393" customWidth="1"/>
    <col min="6660" max="6660" width="12.2857142857143" style="393" customWidth="1"/>
    <col min="6661" max="6662" width="12.8571428571429" style="393" customWidth="1"/>
    <col min="6663" max="6663" width="11" style="393" customWidth="1"/>
    <col min="6664" max="6664" width="13.5714285714286" style="393" customWidth="1"/>
    <col min="6665" max="6665" width="5.85714285714286" style="393" customWidth="1"/>
    <col min="6666" max="6666" width="11.2857142857143" style="393" customWidth="1"/>
    <col min="6667" max="6667" width="3" style="393" customWidth="1"/>
    <col min="6668" max="6668" width="6.57142857142857" style="393" customWidth="1"/>
    <col min="6669" max="6669" width="2.42857142857143" style="393" customWidth="1"/>
    <col min="6670" max="6670" width="11.1428571428571" style="393" customWidth="1"/>
    <col min="6671" max="6671" width="10" style="393" customWidth="1"/>
    <col min="6672" max="6672" width="9.57142857142857" style="393" customWidth="1"/>
    <col min="6673" max="6673" width="11.7142857142857" style="393" customWidth="1"/>
    <col min="6674" max="6912" width="9.14285714285714" style="393"/>
    <col min="6913" max="6913" width="26.1428571428571" style="393" customWidth="1"/>
    <col min="6914" max="6914" width="20" style="393" customWidth="1"/>
    <col min="6915" max="6915" width="12" style="393" customWidth="1"/>
    <col min="6916" max="6916" width="12.2857142857143" style="393" customWidth="1"/>
    <col min="6917" max="6918" width="12.8571428571429" style="393" customWidth="1"/>
    <col min="6919" max="6919" width="11" style="393" customWidth="1"/>
    <col min="6920" max="6920" width="13.5714285714286" style="393" customWidth="1"/>
    <col min="6921" max="6921" width="5.85714285714286" style="393" customWidth="1"/>
    <col min="6922" max="6922" width="11.2857142857143" style="393" customWidth="1"/>
    <col min="6923" max="6923" width="3" style="393" customWidth="1"/>
    <col min="6924" max="6924" width="6.57142857142857" style="393" customWidth="1"/>
    <col min="6925" max="6925" width="2.42857142857143" style="393" customWidth="1"/>
    <col min="6926" max="6926" width="11.1428571428571" style="393" customWidth="1"/>
    <col min="6927" max="6927" width="10" style="393" customWidth="1"/>
    <col min="6928" max="6928" width="9.57142857142857" style="393" customWidth="1"/>
    <col min="6929" max="6929" width="11.7142857142857" style="393" customWidth="1"/>
    <col min="6930" max="7168" width="9.14285714285714" style="393"/>
    <col min="7169" max="7169" width="26.1428571428571" style="393" customWidth="1"/>
    <col min="7170" max="7170" width="20" style="393" customWidth="1"/>
    <col min="7171" max="7171" width="12" style="393" customWidth="1"/>
    <col min="7172" max="7172" width="12.2857142857143" style="393" customWidth="1"/>
    <col min="7173" max="7174" width="12.8571428571429" style="393" customWidth="1"/>
    <col min="7175" max="7175" width="11" style="393" customWidth="1"/>
    <col min="7176" max="7176" width="13.5714285714286" style="393" customWidth="1"/>
    <col min="7177" max="7177" width="5.85714285714286" style="393" customWidth="1"/>
    <col min="7178" max="7178" width="11.2857142857143" style="393" customWidth="1"/>
    <col min="7179" max="7179" width="3" style="393" customWidth="1"/>
    <col min="7180" max="7180" width="6.57142857142857" style="393" customWidth="1"/>
    <col min="7181" max="7181" width="2.42857142857143" style="393" customWidth="1"/>
    <col min="7182" max="7182" width="11.1428571428571" style="393" customWidth="1"/>
    <col min="7183" max="7183" width="10" style="393" customWidth="1"/>
    <col min="7184" max="7184" width="9.57142857142857" style="393" customWidth="1"/>
    <col min="7185" max="7185" width="11.7142857142857" style="393" customWidth="1"/>
    <col min="7186" max="7424" width="9.14285714285714" style="393"/>
    <col min="7425" max="7425" width="26.1428571428571" style="393" customWidth="1"/>
    <col min="7426" max="7426" width="20" style="393" customWidth="1"/>
    <col min="7427" max="7427" width="12" style="393" customWidth="1"/>
    <col min="7428" max="7428" width="12.2857142857143" style="393" customWidth="1"/>
    <col min="7429" max="7430" width="12.8571428571429" style="393" customWidth="1"/>
    <col min="7431" max="7431" width="11" style="393" customWidth="1"/>
    <col min="7432" max="7432" width="13.5714285714286" style="393" customWidth="1"/>
    <col min="7433" max="7433" width="5.85714285714286" style="393" customWidth="1"/>
    <col min="7434" max="7434" width="11.2857142857143" style="393" customWidth="1"/>
    <col min="7435" max="7435" width="3" style="393" customWidth="1"/>
    <col min="7436" max="7436" width="6.57142857142857" style="393" customWidth="1"/>
    <col min="7437" max="7437" width="2.42857142857143" style="393" customWidth="1"/>
    <col min="7438" max="7438" width="11.1428571428571" style="393" customWidth="1"/>
    <col min="7439" max="7439" width="10" style="393" customWidth="1"/>
    <col min="7440" max="7440" width="9.57142857142857" style="393" customWidth="1"/>
    <col min="7441" max="7441" width="11.7142857142857" style="393" customWidth="1"/>
    <col min="7442" max="7680" width="9.14285714285714" style="393"/>
    <col min="7681" max="7681" width="26.1428571428571" style="393" customWidth="1"/>
    <col min="7682" max="7682" width="20" style="393" customWidth="1"/>
    <col min="7683" max="7683" width="12" style="393" customWidth="1"/>
    <col min="7684" max="7684" width="12.2857142857143" style="393" customWidth="1"/>
    <col min="7685" max="7686" width="12.8571428571429" style="393" customWidth="1"/>
    <col min="7687" max="7687" width="11" style="393" customWidth="1"/>
    <col min="7688" max="7688" width="13.5714285714286" style="393" customWidth="1"/>
    <col min="7689" max="7689" width="5.85714285714286" style="393" customWidth="1"/>
    <col min="7690" max="7690" width="11.2857142857143" style="393" customWidth="1"/>
    <col min="7691" max="7691" width="3" style="393" customWidth="1"/>
    <col min="7692" max="7692" width="6.57142857142857" style="393" customWidth="1"/>
    <col min="7693" max="7693" width="2.42857142857143" style="393" customWidth="1"/>
    <col min="7694" max="7694" width="11.1428571428571" style="393" customWidth="1"/>
    <col min="7695" max="7695" width="10" style="393" customWidth="1"/>
    <col min="7696" max="7696" width="9.57142857142857" style="393" customWidth="1"/>
    <col min="7697" max="7697" width="11.7142857142857" style="393" customWidth="1"/>
    <col min="7698" max="7936" width="9.14285714285714" style="393"/>
    <col min="7937" max="7937" width="26.1428571428571" style="393" customWidth="1"/>
    <col min="7938" max="7938" width="20" style="393" customWidth="1"/>
    <col min="7939" max="7939" width="12" style="393" customWidth="1"/>
    <col min="7940" max="7940" width="12.2857142857143" style="393" customWidth="1"/>
    <col min="7941" max="7942" width="12.8571428571429" style="393" customWidth="1"/>
    <col min="7943" max="7943" width="11" style="393" customWidth="1"/>
    <col min="7944" max="7944" width="13.5714285714286" style="393" customWidth="1"/>
    <col min="7945" max="7945" width="5.85714285714286" style="393" customWidth="1"/>
    <col min="7946" max="7946" width="11.2857142857143" style="393" customWidth="1"/>
    <col min="7947" max="7947" width="3" style="393" customWidth="1"/>
    <col min="7948" max="7948" width="6.57142857142857" style="393" customWidth="1"/>
    <col min="7949" max="7949" width="2.42857142857143" style="393" customWidth="1"/>
    <col min="7950" max="7950" width="11.1428571428571" style="393" customWidth="1"/>
    <col min="7951" max="7951" width="10" style="393" customWidth="1"/>
    <col min="7952" max="7952" width="9.57142857142857" style="393" customWidth="1"/>
    <col min="7953" max="7953" width="11.7142857142857" style="393" customWidth="1"/>
    <col min="7954" max="8192" width="9.14285714285714" style="393"/>
    <col min="8193" max="8193" width="26.1428571428571" style="393" customWidth="1"/>
    <col min="8194" max="8194" width="20" style="393" customWidth="1"/>
    <col min="8195" max="8195" width="12" style="393" customWidth="1"/>
    <col min="8196" max="8196" width="12.2857142857143" style="393" customWidth="1"/>
    <col min="8197" max="8198" width="12.8571428571429" style="393" customWidth="1"/>
    <col min="8199" max="8199" width="11" style="393" customWidth="1"/>
    <col min="8200" max="8200" width="13.5714285714286" style="393" customWidth="1"/>
    <col min="8201" max="8201" width="5.85714285714286" style="393" customWidth="1"/>
    <col min="8202" max="8202" width="11.2857142857143" style="393" customWidth="1"/>
    <col min="8203" max="8203" width="3" style="393" customWidth="1"/>
    <col min="8204" max="8204" width="6.57142857142857" style="393" customWidth="1"/>
    <col min="8205" max="8205" width="2.42857142857143" style="393" customWidth="1"/>
    <col min="8206" max="8206" width="11.1428571428571" style="393" customWidth="1"/>
    <col min="8207" max="8207" width="10" style="393" customWidth="1"/>
    <col min="8208" max="8208" width="9.57142857142857" style="393" customWidth="1"/>
    <col min="8209" max="8209" width="11.7142857142857" style="393" customWidth="1"/>
    <col min="8210" max="8448" width="9.14285714285714" style="393"/>
    <col min="8449" max="8449" width="26.1428571428571" style="393" customWidth="1"/>
    <col min="8450" max="8450" width="20" style="393" customWidth="1"/>
    <col min="8451" max="8451" width="12" style="393" customWidth="1"/>
    <col min="8452" max="8452" width="12.2857142857143" style="393" customWidth="1"/>
    <col min="8453" max="8454" width="12.8571428571429" style="393" customWidth="1"/>
    <col min="8455" max="8455" width="11" style="393" customWidth="1"/>
    <col min="8456" max="8456" width="13.5714285714286" style="393" customWidth="1"/>
    <col min="8457" max="8457" width="5.85714285714286" style="393" customWidth="1"/>
    <col min="8458" max="8458" width="11.2857142857143" style="393" customWidth="1"/>
    <col min="8459" max="8459" width="3" style="393" customWidth="1"/>
    <col min="8460" max="8460" width="6.57142857142857" style="393" customWidth="1"/>
    <col min="8461" max="8461" width="2.42857142857143" style="393" customWidth="1"/>
    <col min="8462" max="8462" width="11.1428571428571" style="393" customWidth="1"/>
    <col min="8463" max="8463" width="10" style="393" customWidth="1"/>
    <col min="8464" max="8464" width="9.57142857142857" style="393" customWidth="1"/>
    <col min="8465" max="8465" width="11.7142857142857" style="393" customWidth="1"/>
    <col min="8466" max="8704" width="9.14285714285714" style="393"/>
    <col min="8705" max="8705" width="26.1428571428571" style="393" customWidth="1"/>
    <col min="8706" max="8706" width="20" style="393" customWidth="1"/>
    <col min="8707" max="8707" width="12" style="393" customWidth="1"/>
    <col min="8708" max="8708" width="12.2857142857143" style="393" customWidth="1"/>
    <col min="8709" max="8710" width="12.8571428571429" style="393" customWidth="1"/>
    <col min="8711" max="8711" width="11" style="393" customWidth="1"/>
    <col min="8712" max="8712" width="13.5714285714286" style="393" customWidth="1"/>
    <col min="8713" max="8713" width="5.85714285714286" style="393" customWidth="1"/>
    <col min="8714" max="8714" width="11.2857142857143" style="393" customWidth="1"/>
    <col min="8715" max="8715" width="3" style="393" customWidth="1"/>
    <col min="8716" max="8716" width="6.57142857142857" style="393" customWidth="1"/>
    <col min="8717" max="8717" width="2.42857142857143" style="393" customWidth="1"/>
    <col min="8718" max="8718" width="11.1428571428571" style="393" customWidth="1"/>
    <col min="8719" max="8719" width="10" style="393" customWidth="1"/>
    <col min="8720" max="8720" width="9.57142857142857" style="393" customWidth="1"/>
    <col min="8721" max="8721" width="11.7142857142857" style="393" customWidth="1"/>
    <col min="8722" max="8960" width="9.14285714285714" style="393"/>
    <col min="8961" max="8961" width="26.1428571428571" style="393" customWidth="1"/>
    <col min="8962" max="8962" width="20" style="393" customWidth="1"/>
    <col min="8963" max="8963" width="12" style="393" customWidth="1"/>
    <col min="8964" max="8964" width="12.2857142857143" style="393" customWidth="1"/>
    <col min="8965" max="8966" width="12.8571428571429" style="393" customWidth="1"/>
    <col min="8967" max="8967" width="11" style="393" customWidth="1"/>
    <col min="8968" max="8968" width="13.5714285714286" style="393" customWidth="1"/>
    <col min="8969" max="8969" width="5.85714285714286" style="393" customWidth="1"/>
    <col min="8970" max="8970" width="11.2857142857143" style="393" customWidth="1"/>
    <col min="8971" max="8971" width="3" style="393" customWidth="1"/>
    <col min="8972" max="8972" width="6.57142857142857" style="393" customWidth="1"/>
    <col min="8973" max="8973" width="2.42857142857143" style="393" customWidth="1"/>
    <col min="8974" max="8974" width="11.1428571428571" style="393" customWidth="1"/>
    <col min="8975" max="8975" width="10" style="393" customWidth="1"/>
    <col min="8976" max="8976" width="9.57142857142857" style="393" customWidth="1"/>
    <col min="8977" max="8977" width="11.7142857142857" style="393" customWidth="1"/>
    <col min="8978" max="9216" width="9.14285714285714" style="393"/>
    <col min="9217" max="9217" width="26.1428571428571" style="393" customWidth="1"/>
    <col min="9218" max="9218" width="20" style="393" customWidth="1"/>
    <col min="9219" max="9219" width="12" style="393" customWidth="1"/>
    <col min="9220" max="9220" width="12.2857142857143" style="393" customWidth="1"/>
    <col min="9221" max="9222" width="12.8571428571429" style="393" customWidth="1"/>
    <col min="9223" max="9223" width="11" style="393" customWidth="1"/>
    <col min="9224" max="9224" width="13.5714285714286" style="393" customWidth="1"/>
    <col min="9225" max="9225" width="5.85714285714286" style="393" customWidth="1"/>
    <col min="9226" max="9226" width="11.2857142857143" style="393" customWidth="1"/>
    <col min="9227" max="9227" width="3" style="393" customWidth="1"/>
    <col min="9228" max="9228" width="6.57142857142857" style="393" customWidth="1"/>
    <col min="9229" max="9229" width="2.42857142857143" style="393" customWidth="1"/>
    <col min="9230" max="9230" width="11.1428571428571" style="393" customWidth="1"/>
    <col min="9231" max="9231" width="10" style="393" customWidth="1"/>
    <col min="9232" max="9232" width="9.57142857142857" style="393" customWidth="1"/>
    <col min="9233" max="9233" width="11.7142857142857" style="393" customWidth="1"/>
    <col min="9234" max="9472" width="9.14285714285714" style="393"/>
    <col min="9473" max="9473" width="26.1428571428571" style="393" customWidth="1"/>
    <col min="9474" max="9474" width="20" style="393" customWidth="1"/>
    <col min="9475" max="9475" width="12" style="393" customWidth="1"/>
    <col min="9476" max="9476" width="12.2857142857143" style="393" customWidth="1"/>
    <col min="9477" max="9478" width="12.8571428571429" style="393" customWidth="1"/>
    <col min="9479" max="9479" width="11" style="393" customWidth="1"/>
    <col min="9480" max="9480" width="13.5714285714286" style="393" customWidth="1"/>
    <col min="9481" max="9481" width="5.85714285714286" style="393" customWidth="1"/>
    <col min="9482" max="9482" width="11.2857142857143" style="393" customWidth="1"/>
    <col min="9483" max="9483" width="3" style="393" customWidth="1"/>
    <col min="9484" max="9484" width="6.57142857142857" style="393" customWidth="1"/>
    <col min="9485" max="9485" width="2.42857142857143" style="393" customWidth="1"/>
    <col min="9486" max="9486" width="11.1428571428571" style="393" customWidth="1"/>
    <col min="9487" max="9487" width="10" style="393" customWidth="1"/>
    <col min="9488" max="9488" width="9.57142857142857" style="393" customWidth="1"/>
    <col min="9489" max="9489" width="11.7142857142857" style="393" customWidth="1"/>
    <col min="9490" max="9728" width="9.14285714285714" style="393"/>
    <col min="9729" max="9729" width="26.1428571428571" style="393" customWidth="1"/>
    <col min="9730" max="9730" width="20" style="393" customWidth="1"/>
    <col min="9731" max="9731" width="12" style="393" customWidth="1"/>
    <col min="9732" max="9732" width="12.2857142857143" style="393" customWidth="1"/>
    <col min="9733" max="9734" width="12.8571428571429" style="393" customWidth="1"/>
    <col min="9735" max="9735" width="11" style="393" customWidth="1"/>
    <col min="9736" max="9736" width="13.5714285714286" style="393" customWidth="1"/>
    <col min="9737" max="9737" width="5.85714285714286" style="393" customWidth="1"/>
    <col min="9738" max="9738" width="11.2857142857143" style="393" customWidth="1"/>
    <col min="9739" max="9739" width="3" style="393" customWidth="1"/>
    <col min="9740" max="9740" width="6.57142857142857" style="393" customWidth="1"/>
    <col min="9741" max="9741" width="2.42857142857143" style="393" customWidth="1"/>
    <col min="9742" max="9742" width="11.1428571428571" style="393" customWidth="1"/>
    <col min="9743" max="9743" width="10" style="393" customWidth="1"/>
    <col min="9744" max="9744" width="9.57142857142857" style="393" customWidth="1"/>
    <col min="9745" max="9745" width="11.7142857142857" style="393" customWidth="1"/>
    <col min="9746" max="9984" width="9.14285714285714" style="393"/>
    <col min="9985" max="9985" width="26.1428571428571" style="393" customWidth="1"/>
    <col min="9986" max="9986" width="20" style="393" customWidth="1"/>
    <col min="9987" max="9987" width="12" style="393" customWidth="1"/>
    <col min="9988" max="9988" width="12.2857142857143" style="393" customWidth="1"/>
    <col min="9989" max="9990" width="12.8571428571429" style="393" customWidth="1"/>
    <col min="9991" max="9991" width="11" style="393" customWidth="1"/>
    <col min="9992" max="9992" width="13.5714285714286" style="393" customWidth="1"/>
    <col min="9993" max="9993" width="5.85714285714286" style="393" customWidth="1"/>
    <col min="9994" max="9994" width="11.2857142857143" style="393" customWidth="1"/>
    <col min="9995" max="9995" width="3" style="393" customWidth="1"/>
    <col min="9996" max="9996" width="6.57142857142857" style="393" customWidth="1"/>
    <col min="9997" max="9997" width="2.42857142857143" style="393" customWidth="1"/>
    <col min="9998" max="9998" width="11.1428571428571" style="393" customWidth="1"/>
    <col min="9999" max="9999" width="10" style="393" customWidth="1"/>
    <col min="10000" max="10000" width="9.57142857142857" style="393" customWidth="1"/>
    <col min="10001" max="10001" width="11.7142857142857" style="393" customWidth="1"/>
    <col min="10002" max="10240" width="9.14285714285714" style="393"/>
    <col min="10241" max="10241" width="26.1428571428571" style="393" customWidth="1"/>
    <col min="10242" max="10242" width="20" style="393" customWidth="1"/>
    <col min="10243" max="10243" width="12" style="393" customWidth="1"/>
    <col min="10244" max="10244" width="12.2857142857143" style="393" customWidth="1"/>
    <col min="10245" max="10246" width="12.8571428571429" style="393" customWidth="1"/>
    <col min="10247" max="10247" width="11" style="393" customWidth="1"/>
    <col min="10248" max="10248" width="13.5714285714286" style="393" customWidth="1"/>
    <col min="10249" max="10249" width="5.85714285714286" style="393" customWidth="1"/>
    <col min="10250" max="10250" width="11.2857142857143" style="393" customWidth="1"/>
    <col min="10251" max="10251" width="3" style="393" customWidth="1"/>
    <col min="10252" max="10252" width="6.57142857142857" style="393" customWidth="1"/>
    <col min="10253" max="10253" width="2.42857142857143" style="393" customWidth="1"/>
    <col min="10254" max="10254" width="11.1428571428571" style="393" customWidth="1"/>
    <col min="10255" max="10255" width="10" style="393" customWidth="1"/>
    <col min="10256" max="10256" width="9.57142857142857" style="393" customWidth="1"/>
    <col min="10257" max="10257" width="11.7142857142857" style="393" customWidth="1"/>
    <col min="10258" max="10496" width="9.14285714285714" style="393"/>
    <col min="10497" max="10497" width="26.1428571428571" style="393" customWidth="1"/>
    <col min="10498" max="10498" width="20" style="393" customWidth="1"/>
    <col min="10499" max="10499" width="12" style="393" customWidth="1"/>
    <col min="10500" max="10500" width="12.2857142857143" style="393" customWidth="1"/>
    <col min="10501" max="10502" width="12.8571428571429" style="393" customWidth="1"/>
    <col min="10503" max="10503" width="11" style="393" customWidth="1"/>
    <col min="10504" max="10504" width="13.5714285714286" style="393" customWidth="1"/>
    <col min="10505" max="10505" width="5.85714285714286" style="393" customWidth="1"/>
    <col min="10506" max="10506" width="11.2857142857143" style="393" customWidth="1"/>
    <col min="10507" max="10507" width="3" style="393" customWidth="1"/>
    <col min="10508" max="10508" width="6.57142857142857" style="393" customWidth="1"/>
    <col min="10509" max="10509" width="2.42857142857143" style="393" customWidth="1"/>
    <col min="10510" max="10510" width="11.1428571428571" style="393" customWidth="1"/>
    <col min="10511" max="10511" width="10" style="393" customWidth="1"/>
    <col min="10512" max="10512" width="9.57142857142857" style="393" customWidth="1"/>
    <col min="10513" max="10513" width="11.7142857142857" style="393" customWidth="1"/>
    <col min="10514" max="10752" width="9.14285714285714" style="393"/>
    <col min="10753" max="10753" width="26.1428571428571" style="393" customWidth="1"/>
    <col min="10754" max="10754" width="20" style="393" customWidth="1"/>
    <col min="10755" max="10755" width="12" style="393" customWidth="1"/>
    <col min="10756" max="10756" width="12.2857142857143" style="393" customWidth="1"/>
    <col min="10757" max="10758" width="12.8571428571429" style="393" customWidth="1"/>
    <col min="10759" max="10759" width="11" style="393" customWidth="1"/>
    <col min="10760" max="10760" width="13.5714285714286" style="393" customWidth="1"/>
    <col min="10761" max="10761" width="5.85714285714286" style="393" customWidth="1"/>
    <col min="10762" max="10762" width="11.2857142857143" style="393" customWidth="1"/>
    <col min="10763" max="10763" width="3" style="393" customWidth="1"/>
    <col min="10764" max="10764" width="6.57142857142857" style="393" customWidth="1"/>
    <col min="10765" max="10765" width="2.42857142857143" style="393" customWidth="1"/>
    <col min="10766" max="10766" width="11.1428571428571" style="393" customWidth="1"/>
    <col min="10767" max="10767" width="10" style="393" customWidth="1"/>
    <col min="10768" max="10768" width="9.57142857142857" style="393" customWidth="1"/>
    <col min="10769" max="10769" width="11.7142857142857" style="393" customWidth="1"/>
    <col min="10770" max="11008" width="9.14285714285714" style="393"/>
    <col min="11009" max="11009" width="26.1428571428571" style="393" customWidth="1"/>
    <col min="11010" max="11010" width="20" style="393" customWidth="1"/>
    <col min="11011" max="11011" width="12" style="393" customWidth="1"/>
    <col min="11012" max="11012" width="12.2857142857143" style="393" customWidth="1"/>
    <col min="11013" max="11014" width="12.8571428571429" style="393" customWidth="1"/>
    <col min="11015" max="11015" width="11" style="393" customWidth="1"/>
    <col min="11016" max="11016" width="13.5714285714286" style="393" customWidth="1"/>
    <col min="11017" max="11017" width="5.85714285714286" style="393" customWidth="1"/>
    <col min="11018" max="11018" width="11.2857142857143" style="393" customWidth="1"/>
    <col min="11019" max="11019" width="3" style="393" customWidth="1"/>
    <col min="11020" max="11020" width="6.57142857142857" style="393" customWidth="1"/>
    <col min="11021" max="11021" width="2.42857142857143" style="393" customWidth="1"/>
    <col min="11022" max="11022" width="11.1428571428571" style="393" customWidth="1"/>
    <col min="11023" max="11023" width="10" style="393" customWidth="1"/>
    <col min="11024" max="11024" width="9.57142857142857" style="393" customWidth="1"/>
    <col min="11025" max="11025" width="11.7142857142857" style="393" customWidth="1"/>
    <col min="11026" max="11264" width="9.14285714285714" style="393"/>
    <col min="11265" max="11265" width="26.1428571428571" style="393" customWidth="1"/>
    <col min="11266" max="11266" width="20" style="393" customWidth="1"/>
    <col min="11267" max="11267" width="12" style="393" customWidth="1"/>
    <col min="11268" max="11268" width="12.2857142857143" style="393" customWidth="1"/>
    <col min="11269" max="11270" width="12.8571428571429" style="393" customWidth="1"/>
    <col min="11271" max="11271" width="11" style="393" customWidth="1"/>
    <col min="11272" max="11272" width="13.5714285714286" style="393" customWidth="1"/>
    <col min="11273" max="11273" width="5.85714285714286" style="393" customWidth="1"/>
    <col min="11274" max="11274" width="11.2857142857143" style="393" customWidth="1"/>
    <col min="11275" max="11275" width="3" style="393" customWidth="1"/>
    <col min="11276" max="11276" width="6.57142857142857" style="393" customWidth="1"/>
    <col min="11277" max="11277" width="2.42857142857143" style="393" customWidth="1"/>
    <col min="11278" max="11278" width="11.1428571428571" style="393" customWidth="1"/>
    <col min="11279" max="11279" width="10" style="393" customWidth="1"/>
    <col min="11280" max="11280" width="9.57142857142857" style="393" customWidth="1"/>
    <col min="11281" max="11281" width="11.7142857142857" style="393" customWidth="1"/>
    <col min="11282" max="11520" width="9.14285714285714" style="393"/>
    <col min="11521" max="11521" width="26.1428571428571" style="393" customWidth="1"/>
    <col min="11522" max="11522" width="20" style="393" customWidth="1"/>
    <col min="11523" max="11523" width="12" style="393" customWidth="1"/>
    <col min="11524" max="11524" width="12.2857142857143" style="393" customWidth="1"/>
    <col min="11525" max="11526" width="12.8571428571429" style="393" customWidth="1"/>
    <col min="11527" max="11527" width="11" style="393" customWidth="1"/>
    <col min="11528" max="11528" width="13.5714285714286" style="393" customWidth="1"/>
    <col min="11529" max="11529" width="5.85714285714286" style="393" customWidth="1"/>
    <col min="11530" max="11530" width="11.2857142857143" style="393" customWidth="1"/>
    <col min="11531" max="11531" width="3" style="393" customWidth="1"/>
    <col min="11532" max="11532" width="6.57142857142857" style="393" customWidth="1"/>
    <col min="11533" max="11533" width="2.42857142857143" style="393" customWidth="1"/>
    <col min="11534" max="11534" width="11.1428571428571" style="393" customWidth="1"/>
    <col min="11535" max="11535" width="10" style="393" customWidth="1"/>
    <col min="11536" max="11536" width="9.57142857142857" style="393" customWidth="1"/>
    <col min="11537" max="11537" width="11.7142857142857" style="393" customWidth="1"/>
    <col min="11538" max="11776" width="9.14285714285714" style="393"/>
    <col min="11777" max="11777" width="26.1428571428571" style="393" customWidth="1"/>
    <col min="11778" max="11778" width="20" style="393" customWidth="1"/>
    <col min="11779" max="11779" width="12" style="393" customWidth="1"/>
    <col min="11780" max="11780" width="12.2857142857143" style="393" customWidth="1"/>
    <col min="11781" max="11782" width="12.8571428571429" style="393" customWidth="1"/>
    <col min="11783" max="11783" width="11" style="393" customWidth="1"/>
    <col min="11784" max="11784" width="13.5714285714286" style="393" customWidth="1"/>
    <col min="11785" max="11785" width="5.85714285714286" style="393" customWidth="1"/>
    <col min="11786" max="11786" width="11.2857142857143" style="393" customWidth="1"/>
    <col min="11787" max="11787" width="3" style="393" customWidth="1"/>
    <col min="11788" max="11788" width="6.57142857142857" style="393" customWidth="1"/>
    <col min="11789" max="11789" width="2.42857142857143" style="393" customWidth="1"/>
    <col min="11790" max="11790" width="11.1428571428571" style="393" customWidth="1"/>
    <col min="11791" max="11791" width="10" style="393" customWidth="1"/>
    <col min="11792" max="11792" width="9.57142857142857" style="393" customWidth="1"/>
    <col min="11793" max="11793" width="11.7142857142857" style="393" customWidth="1"/>
    <col min="11794" max="12032" width="9.14285714285714" style="393"/>
    <col min="12033" max="12033" width="26.1428571428571" style="393" customWidth="1"/>
    <col min="12034" max="12034" width="20" style="393" customWidth="1"/>
    <col min="12035" max="12035" width="12" style="393" customWidth="1"/>
    <col min="12036" max="12036" width="12.2857142857143" style="393" customWidth="1"/>
    <col min="12037" max="12038" width="12.8571428571429" style="393" customWidth="1"/>
    <col min="12039" max="12039" width="11" style="393" customWidth="1"/>
    <col min="12040" max="12040" width="13.5714285714286" style="393" customWidth="1"/>
    <col min="12041" max="12041" width="5.85714285714286" style="393" customWidth="1"/>
    <col min="12042" max="12042" width="11.2857142857143" style="393" customWidth="1"/>
    <col min="12043" max="12043" width="3" style="393" customWidth="1"/>
    <col min="12044" max="12044" width="6.57142857142857" style="393" customWidth="1"/>
    <col min="12045" max="12045" width="2.42857142857143" style="393" customWidth="1"/>
    <col min="12046" max="12046" width="11.1428571428571" style="393" customWidth="1"/>
    <col min="12047" max="12047" width="10" style="393" customWidth="1"/>
    <col min="12048" max="12048" width="9.57142857142857" style="393" customWidth="1"/>
    <col min="12049" max="12049" width="11.7142857142857" style="393" customWidth="1"/>
    <col min="12050" max="12288" width="9.14285714285714" style="393"/>
    <col min="12289" max="12289" width="26.1428571428571" style="393" customWidth="1"/>
    <col min="12290" max="12290" width="20" style="393" customWidth="1"/>
    <col min="12291" max="12291" width="12" style="393" customWidth="1"/>
    <col min="12292" max="12292" width="12.2857142857143" style="393" customWidth="1"/>
    <col min="12293" max="12294" width="12.8571428571429" style="393" customWidth="1"/>
    <col min="12295" max="12295" width="11" style="393" customWidth="1"/>
    <col min="12296" max="12296" width="13.5714285714286" style="393" customWidth="1"/>
    <col min="12297" max="12297" width="5.85714285714286" style="393" customWidth="1"/>
    <col min="12298" max="12298" width="11.2857142857143" style="393" customWidth="1"/>
    <col min="12299" max="12299" width="3" style="393" customWidth="1"/>
    <col min="12300" max="12300" width="6.57142857142857" style="393" customWidth="1"/>
    <col min="12301" max="12301" width="2.42857142857143" style="393" customWidth="1"/>
    <col min="12302" max="12302" width="11.1428571428571" style="393" customWidth="1"/>
    <col min="12303" max="12303" width="10" style="393" customWidth="1"/>
    <col min="12304" max="12304" width="9.57142857142857" style="393" customWidth="1"/>
    <col min="12305" max="12305" width="11.7142857142857" style="393" customWidth="1"/>
    <col min="12306" max="12544" width="9.14285714285714" style="393"/>
    <col min="12545" max="12545" width="26.1428571428571" style="393" customWidth="1"/>
    <col min="12546" max="12546" width="20" style="393" customWidth="1"/>
    <col min="12547" max="12547" width="12" style="393" customWidth="1"/>
    <col min="12548" max="12548" width="12.2857142857143" style="393" customWidth="1"/>
    <col min="12549" max="12550" width="12.8571428571429" style="393" customWidth="1"/>
    <col min="12551" max="12551" width="11" style="393" customWidth="1"/>
    <col min="12552" max="12552" width="13.5714285714286" style="393" customWidth="1"/>
    <col min="12553" max="12553" width="5.85714285714286" style="393" customWidth="1"/>
    <col min="12554" max="12554" width="11.2857142857143" style="393" customWidth="1"/>
    <col min="12555" max="12555" width="3" style="393" customWidth="1"/>
    <col min="12556" max="12556" width="6.57142857142857" style="393" customWidth="1"/>
    <col min="12557" max="12557" width="2.42857142857143" style="393" customWidth="1"/>
    <col min="12558" max="12558" width="11.1428571428571" style="393" customWidth="1"/>
    <col min="12559" max="12559" width="10" style="393" customWidth="1"/>
    <col min="12560" max="12560" width="9.57142857142857" style="393" customWidth="1"/>
    <col min="12561" max="12561" width="11.7142857142857" style="393" customWidth="1"/>
    <col min="12562" max="12800" width="9.14285714285714" style="393"/>
    <col min="12801" max="12801" width="26.1428571428571" style="393" customWidth="1"/>
    <col min="12802" max="12802" width="20" style="393" customWidth="1"/>
    <col min="12803" max="12803" width="12" style="393" customWidth="1"/>
    <col min="12804" max="12804" width="12.2857142857143" style="393" customWidth="1"/>
    <col min="12805" max="12806" width="12.8571428571429" style="393" customWidth="1"/>
    <col min="12807" max="12807" width="11" style="393" customWidth="1"/>
    <col min="12808" max="12808" width="13.5714285714286" style="393" customWidth="1"/>
    <col min="12809" max="12809" width="5.85714285714286" style="393" customWidth="1"/>
    <col min="12810" max="12810" width="11.2857142857143" style="393" customWidth="1"/>
    <col min="12811" max="12811" width="3" style="393" customWidth="1"/>
    <col min="12812" max="12812" width="6.57142857142857" style="393" customWidth="1"/>
    <col min="12813" max="12813" width="2.42857142857143" style="393" customWidth="1"/>
    <col min="12814" max="12814" width="11.1428571428571" style="393" customWidth="1"/>
    <col min="12815" max="12815" width="10" style="393" customWidth="1"/>
    <col min="12816" max="12816" width="9.57142857142857" style="393" customWidth="1"/>
    <col min="12817" max="12817" width="11.7142857142857" style="393" customWidth="1"/>
    <col min="12818" max="13056" width="9.14285714285714" style="393"/>
    <col min="13057" max="13057" width="26.1428571428571" style="393" customWidth="1"/>
    <col min="13058" max="13058" width="20" style="393" customWidth="1"/>
    <col min="13059" max="13059" width="12" style="393" customWidth="1"/>
    <col min="13060" max="13060" width="12.2857142857143" style="393" customWidth="1"/>
    <col min="13061" max="13062" width="12.8571428571429" style="393" customWidth="1"/>
    <col min="13063" max="13063" width="11" style="393" customWidth="1"/>
    <col min="13064" max="13064" width="13.5714285714286" style="393" customWidth="1"/>
    <col min="13065" max="13065" width="5.85714285714286" style="393" customWidth="1"/>
    <col min="13066" max="13066" width="11.2857142857143" style="393" customWidth="1"/>
    <col min="13067" max="13067" width="3" style="393" customWidth="1"/>
    <col min="13068" max="13068" width="6.57142857142857" style="393" customWidth="1"/>
    <col min="13069" max="13069" width="2.42857142857143" style="393" customWidth="1"/>
    <col min="13070" max="13070" width="11.1428571428571" style="393" customWidth="1"/>
    <col min="13071" max="13071" width="10" style="393" customWidth="1"/>
    <col min="13072" max="13072" width="9.57142857142857" style="393" customWidth="1"/>
    <col min="13073" max="13073" width="11.7142857142857" style="393" customWidth="1"/>
    <col min="13074" max="13312" width="9.14285714285714" style="393"/>
    <col min="13313" max="13313" width="26.1428571428571" style="393" customWidth="1"/>
    <col min="13314" max="13314" width="20" style="393" customWidth="1"/>
    <col min="13315" max="13315" width="12" style="393" customWidth="1"/>
    <col min="13316" max="13316" width="12.2857142857143" style="393" customWidth="1"/>
    <col min="13317" max="13318" width="12.8571428571429" style="393" customWidth="1"/>
    <col min="13319" max="13319" width="11" style="393" customWidth="1"/>
    <col min="13320" max="13320" width="13.5714285714286" style="393" customWidth="1"/>
    <col min="13321" max="13321" width="5.85714285714286" style="393" customWidth="1"/>
    <col min="13322" max="13322" width="11.2857142857143" style="393" customWidth="1"/>
    <col min="13323" max="13323" width="3" style="393" customWidth="1"/>
    <col min="13324" max="13324" width="6.57142857142857" style="393" customWidth="1"/>
    <col min="13325" max="13325" width="2.42857142857143" style="393" customWidth="1"/>
    <col min="13326" max="13326" width="11.1428571428571" style="393" customWidth="1"/>
    <col min="13327" max="13327" width="10" style="393" customWidth="1"/>
    <col min="13328" max="13328" width="9.57142857142857" style="393" customWidth="1"/>
    <col min="13329" max="13329" width="11.7142857142857" style="393" customWidth="1"/>
    <col min="13330" max="13568" width="9.14285714285714" style="393"/>
    <col min="13569" max="13569" width="26.1428571428571" style="393" customWidth="1"/>
    <col min="13570" max="13570" width="20" style="393" customWidth="1"/>
    <col min="13571" max="13571" width="12" style="393" customWidth="1"/>
    <col min="13572" max="13572" width="12.2857142857143" style="393" customWidth="1"/>
    <col min="13573" max="13574" width="12.8571428571429" style="393" customWidth="1"/>
    <col min="13575" max="13575" width="11" style="393" customWidth="1"/>
    <col min="13576" max="13576" width="13.5714285714286" style="393" customWidth="1"/>
    <col min="13577" max="13577" width="5.85714285714286" style="393" customWidth="1"/>
    <col min="13578" max="13578" width="11.2857142857143" style="393" customWidth="1"/>
    <col min="13579" max="13579" width="3" style="393" customWidth="1"/>
    <col min="13580" max="13580" width="6.57142857142857" style="393" customWidth="1"/>
    <col min="13581" max="13581" width="2.42857142857143" style="393" customWidth="1"/>
    <col min="13582" max="13582" width="11.1428571428571" style="393" customWidth="1"/>
    <col min="13583" max="13583" width="10" style="393" customWidth="1"/>
    <col min="13584" max="13584" width="9.57142857142857" style="393" customWidth="1"/>
    <col min="13585" max="13585" width="11.7142857142857" style="393" customWidth="1"/>
    <col min="13586" max="13824" width="9.14285714285714" style="393"/>
    <col min="13825" max="13825" width="26.1428571428571" style="393" customWidth="1"/>
    <col min="13826" max="13826" width="20" style="393" customWidth="1"/>
    <col min="13827" max="13827" width="12" style="393" customWidth="1"/>
    <col min="13828" max="13828" width="12.2857142857143" style="393" customWidth="1"/>
    <col min="13829" max="13830" width="12.8571428571429" style="393" customWidth="1"/>
    <col min="13831" max="13831" width="11" style="393" customWidth="1"/>
    <col min="13832" max="13832" width="13.5714285714286" style="393" customWidth="1"/>
    <col min="13833" max="13833" width="5.85714285714286" style="393" customWidth="1"/>
    <col min="13834" max="13834" width="11.2857142857143" style="393" customWidth="1"/>
    <col min="13835" max="13835" width="3" style="393" customWidth="1"/>
    <col min="13836" max="13836" width="6.57142857142857" style="393" customWidth="1"/>
    <col min="13837" max="13837" width="2.42857142857143" style="393" customWidth="1"/>
    <col min="13838" max="13838" width="11.1428571428571" style="393" customWidth="1"/>
    <col min="13839" max="13839" width="10" style="393" customWidth="1"/>
    <col min="13840" max="13840" width="9.57142857142857" style="393" customWidth="1"/>
    <col min="13841" max="13841" width="11.7142857142857" style="393" customWidth="1"/>
    <col min="13842" max="14080" width="9.14285714285714" style="393"/>
    <col min="14081" max="14081" width="26.1428571428571" style="393" customWidth="1"/>
    <col min="14082" max="14082" width="20" style="393" customWidth="1"/>
    <col min="14083" max="14083" width="12" style="393" customWidth="1"/>
    <col min="14084" max="14084" width="12.2857142857143" style="393" customWidth="1"/>
    <col min="14085" max="14086" width="12.8571428571429" style="393" customWidth="1"/>
    <col min="14087" max="14087" width="11" style="393" customWidth="1"/>
    <col min="14088" max="14088" width="13.5714285714286" style="393" customWidth="1"/>
    <col min="14089" max="14089" width="5.85714285714286" style="393" customWidth="1"/>
    <col min="14090" max="14090" width="11.2857142857143" style="393" customWidth="1"/>
    <col min="14091" max="14091" width="3" style="393" customWidth="1"/>
    <col min="14092" max="14092" width="6.57142857142857" style="393" customWidth="1"/>
    <col min="14093" max="14093" width="2.42857142857143" style="393" customWidth="1"/>
    <col min="14094" max="14094" width="11.1428571428571" style="393" customWidth="1"/>
    <col min="14095" max="14095" width="10" style="393" customWidth="1"/>
    <col min="14096" max="14096" width="9.57142857142857" style="393" customWidth="1"/>
    <col min="14097" max="14097" width="11.7142857142857" style="393" customWidth="1"/>
    <col min="14098" max="14336" width="9.14285714285714" style="393"/>
    <col min="14337" max="14337" width="26.1428571428571" style="393" customWidth="1"/>
    <col min="14338" max="14338" width="20" style="393" customWidth="1"/>
    <col min="14339" max="14339" width="12" style="393" customWidth="1"/>
    <col min="14340" max="14340" width="12.2857142857143" style="393" customWidth="1"/>
    <col min="14341" max="14342" width="12.8571428571429" style="393" customWidth="1"/>
    <col min="14343" max="14343" width="11" style="393" customWidth="1"/>
    <col min="14344" max="14344" width="13.5714285714286" style="393" customWidth="1"/>
    <col min="14345" max="14345" width="5.85714285714286" style="393" customWidth="1"/>
    <col min="14346" max="14346" width="11.2857142857143" style="393" customWidth="1"/>
    <col min="14347" max="14347" width="3" style="393" customWidth="1"/>
    <col min="14348" max="14348" width="6.57142857142857" style="393" customWidth="1"/>
    <col min="14349" max="14349" width="2.42857142857143" style="393" customWidth="1"/>
    <col min="14350" max="14350" width="11.1428571428571" style="393" customWidth="1"/>
    <col min="14351" max="14351" width="10" style="393" customWidth="1"/>
    <col min="14352" max="14352" width="9.57142857142857" style="393" customWidth="1"/>
    <col min="14353" max="14353" width="11.7142857142857" style="393" customWidth="1"/>
    <col min="14354" max="14592" width="9.14285714285714" style="393"/>
    <col min="14593" max="14593" width="26.1428571428571" style="393" customWidth="1"/>
    <col min="14594" max="14594" width="20" style="393" customWidth="1"/>
    <col min="14595" max="14595" width="12" style="393" customWidth="1"/>
    <col min="14596" max="14596" width="12.2857142857143" style="393" customWidth="1"/>
    <col min="14597" max="14598" width="12.8571428571429" style="393" customWidth="1"/>
    <col min="14599" max="14599" width="11" style="393" customWidth="1"/>
    <col min="14600" max="14600" width="13.5714285714286" style="393" customWidth="1"/>
    <col min="14601" max="14601" width="5.85714285714286" style="393" customWidth="1"/>
    <col min="14602" max="14602" width="11.2857142857143" style="393" customWidth="1"/>
    <col min="14603" max="14603" width="3" style="393" customWidth="1"/>
    <col min="14604" max="14604" width="6.57142857142857" style="393" customWidth="1"/>
    <col min="14605" max="14605" width="2.42857142857143" style="393" customWidth="1"/>
    <col min="14606" max="14606" width="11.1428571428571" style="393" customWidth="1"/>
    <col min="14607" max="14607" width="10" style="393" customWidth="1"/>
    <col min="14608" max="14608" width="9.57142857142857" style="393" customWidth="1"/>
    <col min="14609" max="14609" width="11.7142857142857" style="393" customWidth="1"/>
    <col min="14610" max="14848" width="9.14285714285714" style="393"/>
    <col min="14849" max="14849" width="26.1428571428571" style="393" customWidth="1"/>
    <col min="14850" max="14850" width="20" style="393" customWidth="1"/>
    <col min="14851" max="14851" width="12" style="393" customWidth="1"/>
    <col min="14852" max="14852" width="12.2857142857143" style="393" customWidth="1"/>
    <col min="14853" max="14854" width="12.8571428571429" style="393" customWidth="1"/>
    <col min="14855" max="14855" width="11" style="393" customWidth="1"/>
    <col min="14856" max="14856" width="13.5714285714286" style="393" customWidth="1"/>
    <col min="14857" max="14857" width="5.85714285714286" style="393" customWidth="1"/>
    <col min="14858" max="14858" width="11.2857142857143" style="393" customWidth="1"/>
    <col min="14859" max="14859" width="3" style="393" customWidth="1"/>
    <col min="14860" max="14860" width="6.57142857142857" style="393" customWidth="1"/>
    <col min="14861" max="14861" width="2.42857142857143" style="393" customWidth="1"/>
    <col min="14862" max="14862" width="11.1428571428571" style="393" customWidth="1"/>
    <col min="14863" max="14863" width="10" style="393" customWidth="1"/>
    <col min="14864" max="14864" width="9.57142857142857" style="393" customWidth="1"/>
    <col min="14865" max="14865" width="11.7142857142857" style="393" customWidth="1"/>
    <col min="14866" max="15104" width="9.14285714285714" style="393"/>
    <col min="15105" max="15105" width="26.1428571428571" style="393" customWidth="1"/>
    <col min="15106" max="15106" width="20" style="393" customWidth="1"/>
    <col min="15107" max="15107" width="12" style="393" customWidth="1"/>
    <col min="15108" max="15108" width="12.2857142857143" style="393" customWidth="1"/>
    <col min="15109" max="15110" width="12.8571428571429" style="393" customWidth="1"/>
    <col min="15111" max="15111" width="11" style="393" customWidth="1"/>
    <col min="15112" max="15112" width="13.5714285714286" style="393" customWidth="1"/>
    <col min="15113" max="15113" width="5.85714285714286" style="393" customWidth="1"/>
    <col min="15114" max="15114" width="11.2857142857143" style="393" customWidth="1"/>
    <col min="15115" max="15115" width="3" style="393" customWidth="1"/>
    <col min="15116" max="15116" width="6.57142857142857" style="393" customWidth="1"/>
    <col min="15117" max="15117" width="2.42857142857143" style="393" customWidth="1"/>
    <col min="15118" max="15118" width="11.1428571428571" style="393" customWidth="1"/>
    <col min="15119" max="15119" width="10" style="393" customWidth="1"/>
    <col min="15120" max="15120" width="9.57142857142857" style="393" customWidth="1"/>
    <col min="15121" max="15121" width="11.7142857142857" style="393" customWidth="1"/>
    <col min="15122" max="15360" width="9.14285714285714" style="393"/>
    <col min="15361" max="15361" width="26.1428571428571" style="393" customWidth="1"/>
    <col min="15362" max="15362" width="20" style="393" customWidth="1"/>
    <col min="15363" max="15363" width="12" style="393" customWidth="1"/>
    <col min="15364" max="15364" width="12.2857142857143" style="393" customWidth="1"/>
    <col min="15365" max="15366" width="12.8571428571429" style="393" customWidth="1"/>
    <col min="15367" max="15367" width="11" style="393" customWidth="1"/>
    <col min="15368" max="15368" width="13.5714285714286" style="393" customWidth="1"/>
    <col min="15369" max="15369" width="5.85714285714286" style="393" customWidth="1"/>
    <col min="15370" max="15370" width="11.2857142857143" style="393" customWidth="1"/>
    <col min="15371" max="15371" width="3" style="393" customWidth="1"/>
    <col min="15372" max="15372" width="6.57142857142857" style="393" customWidth="1"/>
    <col min="15373" max="15373" width="2.42857142857143" style="393" customWidth="1"/>
    <col min="15374" max="15374" width="11.1428571428571" style="393" customWidth="1"/>
    <col min="15375" max="15375" width="10" style="393" customWidth="1"/>
    <col min="15376" max="15376" width="9.57142857142857" style="393" customWidth="1"/>
    <col min="15377" max="15377" width="11.7142857142857" style="393" customWidth="1"/>
    <col min="15378" max="15616" width="9.14285714285714" style="393"/>
    <col min="15617" max="15617" width="26.1428571428571" style="393" customWidth="1"/>
    <col min="15618" max="15618" width="20" style="393" customWidth="1"/>
    <col min="15619" max="15619" width="12" style="393" customWidth="1"/>
    <col min="15620" max="15620" width="12.2857142857143" style="393" customWidth="1"/>
    <col min="15621" max="15622" width="12.8571428571429" style="393" customWidth="1"/>
    <col min="15623" max="15623" width="11" style="393" customWidth="1"/>
    <col min="15624" max="15624" width="13.5714285714286" style="393" customWidth="1"/>
    <col min="15625" max="15625" width="5.85714285714286" style="393" customWidth="1"/>
    <col min="15626" max="15626" width="11.2857142857143" style="393" customWidth="1"/>
    <col min="15627" max="15627" width="3" style="393" customWidth="1"/>
    <col min="15628" max="15628" width="6.57142857142857" style="393" customWidth="1"/>
    <col min="15629" max="15629" width="2.42857142857143" style="393" customWidth="1"/>
    <col min="15630" max="15630" width="11.1428571428571" style="393" customWidth="1"/>
    <col min="15631" max="15631" width="10" style="393" customWidth="1"/>
    <col min="15632" max="15632" width="9.57142857142857" style="393" customWidth="1"/>
    <col min="15633" max="15633" width="11.7142857142857" style="393" customWidth="1"/>
    <col min="15634" max="15872" width="9.14285714285714" style="393"/>
    <col min="15873" max="15873" width="26.1428571428571" style="393" customWidth="1"/>
    <col min="15874" max="15874" width="20" style="393" customWidth="1"/>
    <col min="15875" max="15875" width="12" style="393" customWidth="1"/>
    <col min="15876" max="15876" width="12.2857142857143" style="393" customWidth="1"/>
    <col min="15877" max="15878" width="12.8571428571429" style="393" customWidth="1"/>
    <col min="15879" max="15879" width="11" style="393" customWidth="1"/>
    <col min="15880" max="15880" width="13.5714285714286" style="393" customWidth="1"/>
    <col min="15881" max="15881" width="5.85714285714286" style="393" customWidth="1"/>
    <col min="15882" max="15882" width="11.2857142857143" style="393" customWidth="1"/>
    <col min="15883" max="15883" width="3" style="393" customWidth="1"/>
    <col min="15884" max="15884" width="6.57142857142857" style="393" customWidth="1"/>
    <col min="15885" max="15885" width="2.42857142857143" style="393" customWidth="1"/>
    <col min="15886" max="15886" width="11.1428571428571" style="393" customWidth="1"/>
    <col min="15887" max="15887" width="10" style="393" customWidth="1"/>
    <col min="15888" max="15888" width="9.57142857142857" style="393" customWidth="1"/>
    <col min="15889" max="15889" width="11.7142857142857" style="393" customWidth="1"/>
    <col min="15890" max="16128" width="9.14285714285714" style="393"/>
    <col min="16129" max="16129" width="26.1428571428571" style="393" customWidth="1"/>
    <col min="16130" max="16130" width="20" style="393" customWidth="1"/>
    <col min="16131" max="16131" width="12" style="393" customWidth="1"/>
    <col min="16132" max="16132" width="12.2857142857143" style="393" customWidth="1"/>
    <col min="16133" max="16134" width="12.8571428571429" style="393" customWidth="1"/>
    <col min="16135" max="16135" width="11" style="393" customWidth="1"/>
    <col min="16136" max="16136" width="13.5714285714286" style="393" customWidth="1"/>
    <col min="16137" max="16137" width="5.85714285714286" style="393" customWidth="1"/>
    <col min="16138" max="16138" width="11.2857142857143" style="393" customWidth="1"/>
    <col min="16139" max="16139" width="3" style="393" customWidth="1"/>
    <col min="16140" max="16140" width="6.57142857142857" style="393" customWidth="1"/>
    <col min="16141" max="16141" width="2.42857142857143" style="393" customWidth="1"/>
    <col min="16142" max="16142" width="11.1428571428571" style="393" customWidth="1"/>
    <col min="16143" max="16143" width="10" style="393" customWidth="1"/>
    <col min="16144" max="16144" width="9.57142857142857" style="393" customWidth="1"/>
    <col min="16145" max="16145" width="11.7142857142857" style="393" customWidth="1"/>
    <col min="16146" max="16384" width="9.14285714285714" style="393"/>
  </cols>
  <sheetData>
    <row r="1" spans="1:16">
      <c r="A1" s="394" t="s">
        <v>253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</row>
    <row r="2" s="390" customFormat="1" ht="115.35" customHeight="1" spans="1:16">
      <c r="A2" s="395" t="s">
        <v>19</v>
      </c>
      <c r="B2" s="395" t="s">
        <v>221</v>
      </c>
      <c r="C2" s="396" t="s">
        <v>222</v>
      </c>
      <c r="D2" s="396" t="s">
        <v>223</v>
      </c>
      <c r="E2" s="396" t="s">
        <v>224</v>
      </c>
      <c r="F2" s="396" t="s">
        <v>225</v>
      </c>
      <c r="G2" s="396" t="s">
        <v>226</v>
      </c>
      <c r="H2" s="396" t="s">
        <v>227</v>
      </c>
      <c r="I2" s="429" t="s">
        <v>228</v>
      </c>
      <c r="J2" s="429"/>
      <c r="K2" s="429"/>
      <c r="L2" s="429"/>
      <c r="M2" s="429"/>
      <c r="N2" s="429"/>
      <c r="O2" s="429"/>
      <c r="P2" s="429"/>
    </row>
    <row r="3" ht="38.25" spans="1:18">
      <c r="A3" s="395" t="s">
        <v>23</v>
      </c>
      <c r="B3" s="397" t="str">
        <f>'Aba Carregamento'!B45</f>
        <v>pisos acarpetados</v>
      </c>
      <c r="C3" s="398">
        <f>'Aba Carregamento'!D45</f>
        <v>0</v>
      </c>
      <c r="D3" s="399">
        <f>'Aba Carregamento'!E45</f>
        <v>0</v>
      </c>
      <c r="E3" s="395">
        <f t="shared" ref="E3:E8" si="0">0</f>
        <v>0</v>
      </c>
      <c r="F3" s="400">
        <f t="shared" ref="F3:F6" si="1">TRUNC(E3,0)</f>
        <v>0</v>
      </c>
      <c r="G3" s="395">
        <f t="shared" ref="G3:G6" si="2">E3-F3</f>
        <v>0</v>
      </c>
      <c r="H3" s="395">
        <f t="shared" ref="H3:H20" si="3">G3*$C$24*60</f>
        <v>0</v>
      </c>
      <c r="I3" s="430">
        <f t="shared" ref="I3:I20" si="4">F3</f>
        <v>0</v>
      </c>
      <c r="J3" s="396" t="s">
        <v>229</v>
      </c>
      <c r="K3" s="430">
        <f t="shared" ref="K3:K20" si="5">$C$24</f>
        <v>8</v>
      </c>
      <c r="L3" s="396" t="s">
        <v>230</v>
      </c>
      <c r="M3" s="430">
        <v>1</v>
      </c>
      <c r="N3" s="396" t="s">
        <v>231</v>
      </c>
      <c r="O3" s="430">
        <f t="shared" ref="O3:O20" si="6">H3</f>
        <v>0</v>
      </c>
      <c r="P3" s="396" t="s">
        <v>232</v>
      </c>
      <c r="Q3" s="435"/>
      <c r="R3" s="436"/>
    </row>
    <row r="4" ht="38.25" spans="1:16">
      <c r="A4" s="395"/>
      <c r="B4" s="397" t="str">
        <f>'Aba Carregamento'!B46</f>
        <v>pisos frios</v>
      </c>
      <c r="C4" s="398">
        <f>'Aba Carregamento'!D46</f>
        <v>0</v>
      </c>
      <c r="D4" s="399">
        <f>'Aba Carregamento'!E46</f>
        <v>0</v>
      </c>
      <c r="E4" s="395">
        <f t="shared" si="0"/>
        <v>0</v>
      </c>
      <c r="F4" s="400">
        <f t="shared" si="1"/>
        <v>0</v>
      </c>
      <c r="G4" s="395">
        <f t="shared" si="2"/>
        <v>0</v>
      </c>
      <c r="H4" s="395">
        <f t="shared" si="3"/>
        <v>0</v>
      </c>
      <c r="I4" s="430">
        <f t="shared" si="4"/>
        <v>0</v>
      </c>
      <c r="J4" s="396" t="s">
        <v>229</v>
      </c>
      <c r="K4" s="430">
        <f t="shared" si="5"/>
        <v>8</v>
      </c>
      <c r="L4" s="396" t="s">
        <v>230</v>
      </c>
      <c r="M4" s="430">
        <v>1</v>
      </c>
      <c r="N4" s="396" t="s">
        <v>231</v>
      </c>
      <c r="O4" s="430">
        <f t="shared" si="6"/>
        <v>0</v>
      </c>
      <c r="P4" s="396" t="s">
        <v>232</v>
      </c>
    </row>
    <row r="5" ht="38.25" spans="1:16">
      <c r="A5" s="395"/>
      <c r="B5" s="397" t="str">
        <f>'Aba Carregamento'!B47</f>
        <v>laboratórios</v>
      </c>
      <c r="C5" s="398">
        <f>'Aba Carregamento'!D47</f>
        <v>0</v>
      </c>
      <c r="D5" s="399">
        <f>'Aba Carregamento'!E47</f>
        <v>0</v>
      </c>
      <c r="E5" s="395">
        <f t="shared" si="0"/>
        <v>0</v>
      </c>
      <c r="F5" s="400">
        <f t="shared" si="1"/>
        <v>0</v>
      </c>
      <c r="G5" s="395">
        <f t="shared" si="2"/>
        <v>0</v>
      </c>
      <c r="H5" s="395">
        <f t="shared" si="3"/>
        <v>0</v>
      </c>
      <c r="I5" s="430">
        <f t="shared" si="4"/>
        <v>0</v>
      </c>
      <c r="J5" s="396" t="s">
        <v>229</v>
      </c>
      <c r="K5" s="430">
        <f t="shared" si="5"/>
        <v>8</v>
      </c>
      <c r="L5" s="396" t="s">
        <v>230</v>
      </c>
      <c r="M5" s="430">
        <v>1</v>
      </c>
      <c r="N5" s="396" t="s">
        <v>231</v>
      </c>
      <c r="O5" s="430">
        <f t="shared" si="6"/>
        <v>0</v>
      </c>
      <c r="P5" s="396" t="s">
        <v>232</v>
      </c>
    </row>
    <row r="6" ht="38.25" spans="1:16">
      <c r="A6" s="395"/>
      <c r="B6" s="397" t="str">
        <f>'Aba Carregamento'!B48</f>
        <v>almoxarifados/ galpões</v>
      </c>
      <c r="C6" s="398">
        <f>'Aba Carregamento'!D48</f>
        <v>0</v>
      </c>
      <c r="D6" s="399">
        <f>'Aba Carregamento'!E48</f>
        <v>0</v>
      </c>
      <c r="E6" s="395">
        <f t="shared" si="0"/>
        <v>0</v>
      </c>
      <c r="F6" s="400">
        <f t="shared" si="1"/>
        <v>0</v>
      </c>
      <c r="G6" s="395">
        <f t="shared" si="2"/>
        <v>0</v>
      </c>
      <c r="H6" s="395">
        <f t="shared" si="3"/>
        <v>0</v>
      </c>
      <c r="I6" s="430">
        <f t="shared" si="4"/>
        <v>0</v>
      </c>
      <c r="J6" s="396" t="s">
        <v>229</v>
      </c>
      <c r="K6" s="430">
        <f t="shared" si="5"/>
        <v>8</v>
      </c>
      <c r="L6" s="396" t="s">
        <v>230</v>
      </c>
      <c r="M6" s="430">
        <v>1</v>
      </c>
      <c r="N6" s="396" t="s">
        <v>231</v>
      </c>
      <c r="O6" s="430">
        <f t="shared" si="6"/>
        <v>0</v>
      </c>
      <c r="P6" s="396" t="s">
        <v>232</v>
      </c>
    </row>
    <row r="7" ht="38.25" spans="1:16">
      <c r="A7" s="395"/>
      <c r="B7" s="397" t="str">
        <f>'Aba Carregamento'!B49</f>
        <v>oficinas</v>
      </c>
      <c r="C7" s="398">
        <f>'Aba Carregamento'!D49</f>
        <v>0</v>
      </c>
      <c r="D7" s="399">
        <f>'Aba Carregamento'!E49</f>
        <v>0</v>
      </c>
      <c r="E7" s="395">
        <f t="shared" si="0"/>
        <v>0</v>
      </c>
      <c r="F7" s="395">
        <f t="shared" ref="F7:H7" si="7">0</f>
        <v>0</v>
      </c>
      <c r="G7" s="395">
        <f t="shared" si="7"/>
        <v>0</v>
      </c>
      <c r="H7" s="395">
        <f t="shared" si="7"/>
        <v>0</v>
      </c>
      <c r="I7" s="430">
        <f t="shared" si="4"/>
        <v>0</v>
      </c>
      <c r="J7" s="396" t="s">
        <v>229</v>
      </c>
      <c r="K7" s="430">
        <f t="shared" si="5"/>
        <v>8</v>
      </c>
      <c r="L7" s="396" t="s">
        <v>230</v>
      </c>
      <c r="M7" s="430">
        <v>1</v>
      </c>
      <c r="N7" s="396" t="s">
        <v>231</v>
      </c>
      <c r="O7" s="430">
        <f t="shared" si="6"/>
        <v>0</v>
      </c>
      <c r="P7" s="396" t="s">
        <v>232</v>
      </c>
    </row>
    <row r="8" ht="38.25" spans="1:16">
      <c r="A8" s="395"/>
      <c r="B8" s="397" t="str">
        <f>'Aba Carregamento'!B50</f>
        <v>áreas com espaços livres - saguão, hall e salão</v>
      </c>
      <c r="C8" s="398">
        <f>'Aba Carregamento'!D50</f>
        <v>0</v>
      </c>
      <c r="D8" s="399">
        <f>'Aba Carregamento'!E50</f>
        <v>0</v>
      </c>
      <c r="E8" s="395">
        <f t="shared" si="0"/>
        <v>0</v>
      </c>
      <c r="F8" s="395">
        <f t="shared" ref="F8:H8" si="8">0</f>
        <v>0</v>
      </c>
      <c r="G8" s="395">
        <f t="shared" si="8"/>
        <v>0</v>
      </c>
      <c r="H8" s="395">
        <f t="shared" si="8"/>
        <v>0</v>
      </c>
      <c r="I8" s="430">
        <f t="shared" si="4"/>
        <v>0</v>
      </c>
      <c r="J8" s="396" t="s">
        <v>229</v>
      </c>
      <c r="K8" s="430">
        <f t="shared" si="5"/>
        <v>8</v>
      </c>
      <c r="L8" s="396" t="s">
        <v>230</v>
      </c>
      <c r="M8" s="430">
        <v>1</v>
      </c>
      <c r="N8" s="396" t="s">
        <v>231</v>
      </c>
      <c r="O8" s="430">
        <f t="shared" si="6"/>
        <v>0</v>
      </c>
      <c r="P8" s="396" t="s">
        <v>232</v>
      </c>
    </row>
    <row r="9" ht="38.25" spans="1:16">
      <c r="A9" s="395"/>
      <c r="B9" s="401" t="str">
        <f>'Aba Carregamento'!B51</f>
        <v>banheiros</v>
      </c>
      <c r="C9" s="398">
        <f>'Aba Carregamento'!D51</f>
        <v>180</v>
      </c>
      <c r="D9" s="399">
        <f>'Aba Carregamento'!E51</f>
        <v>739.35</v>
      </c>
      <c r="E9" s="395">
        <f>D9/C9</f>
        <v>4.1075</v>
      </c>
      <c r="F9" s="400">
        <f>TRUNC(E9,0)</f>
        <v>4</v>
      </c>
      <c r="G9" s="395">
        <f>E9-F9</f>
        <v>0.1075</v>
      </c>
      <c r="H9" s="395">
        <f t="shared" si="3"/>
        <v>51.6</v>
      </c>
      <c r="I9" s="430">
        <f t="shared" si="4"/>
        <v>4</v>
      </c>
      <c r="J9" s="396" t="s">
        <v>229</v>
      </c>
      <c r="K9" s="430">
        <f t="shared" si="5"/>
        <v>8</v>
      </c>
      <c r="L9" s="396" t="s">
        <v>230</v>
      </c>
      <c r="M9" s="430">
        <v>1</v>
      </c>
      <c r="N9" s="396" t="s">
        <v>231</v>
      </c>
      <c r="O9" s="430">
        <f t="shared" si="6"/>
        <v>51.6</v>
      </c>
      <c r="P9" s="396" t="s">
        <v>232</v>
      </c>
    </row>
    <row r="10" ht="38.25" spans="1:16">
      <c r="A10" s="395" t="s">
        <v>31</v>
      </c>
      <c r="B10" s="397" t="str">
        <f>'Aba Carregamento'!B52</f>
        <v>pisos pavimentados adjacentes/contíguos às edificações</v>
      </c>
      <c r="C10" s="398">
        <f>'Aba Carregamento'!D52</f>
        <v>0</v>
      </c>
      <c r="D10" s="399">
        <f>'Aba Carregamento'!E52</f>
        <v>0</v>
      </c>
      <c r="E10" s="395">
        <f t="shared" ref="E10:E16" si="9">0</f>
        <v>0</v>
      </c>
      <c r="F10" s="395">
        <f t="shared" ref="F10:F13" si="10">0</f>
        <v>0</v>
      </c>
      <c r="G10" s="395">
        <f t="shared" ref="G10:G13" si="11">0</f>
        <v>0</v>
      </c>
      <c r="H10" s="395">
        <f t="shared" si="3"/>
        <v>0</v>
      </c>
      <c r="I10" s="430">
        <f t="shared" si="4"/>
        <v>0</v>
      </c>
      <c r="J10" s="396" t="s">
        <v>229</v>
      </c>
      <c r="K10" s="430">
        <f t="shared" si="5"/>
        <v>8</v>
      </c>
      <c r="L10" s="396" t="s">
        <v>230</v>
      </c>
      <c r="M10" s="430">
        <v>1</v>
      </c>
      <c r="N10" s="396" t="s">
        <v>231</v>
      </c>
      <c r="O10" s="430">
        <f t="shared" si="6"/>
        <v>0</v>
      </c>
      <c r="P10" s="396" t="s">
        <v>232</v>
      </c>
    </row>
    <row r="11" ht="38.25" spans="1:16">
      <c r="A11" s="395"/>
      <c r="B11" s="397" t="str">
        <f>'Aba Carregamento'!B53</f>
        <v>varrição de passeios e arruamentos</v>
      </c>
      <c r="C11" s="398">
        <f>'Aba Carregamento'!D53</f>
        <v>0</v>
      </c>
      <c r="D11" s="399">
        <f>'Aba Carregamento'!E53</f>
        <v>0</v>
      </c>
      <c r="E11" s="395">
        <f t="shared" si="9"/>
        <v>0</v>
      </c>
      <c r="F11" s="395">
        <f t="shared" si="10"/>
        <v>0</v>
      </c>
      <c r="G11" s="395">
        <f t="shared" si="11"/>
        <v>0</v>
      </c>
      <c r="H11" s="395">
        <f t="shared" si="3"/>
        <v>0</v>
      </c>
      <c r="I11" s="430">
        <f t="shared" si="4"/>
        <v>0</v>
      </c>
      <c r="J11" s="396" t="s">
        <v>229</v>
      </c>
      <c r="K11" s="430">
        <f t="shared" si="5"/>
        <v>8</v>
      </c>
      <c r="L11" s="396" t="s">
        <v>230</v>
      </c>
      <c r="M11" s="430">
        <v>1</v>
      </c>
      <c r="N11" s="396" t="s">
        <v>231</v>
      </c>
      <c r="O11" s="430">
        <f t="shared" si="6"/>
        <v>0</v>
      </c>
      <c r="P11" s="396" t="s">
        <v>232</v>
      </c>
    </row>
    <row r="12" ht="38.25" spans="1:16">
      <c r="A12" s="395"/>
      <c r="B12" s="397" t="str">
        <f>'Aba Carregamento'!B54</f>
        <v>pátios e áreas verdes com alta frequência</v>
      </c>
      <c r="C12" s="398">
        <f>'Aba Carregamento'!D54</f>
        <v>0</v>
      </c>
      <c r="D12" s="399">
        <f>'Aba Carregamento'!E54</f>
        <v>0</v>
      </c>
      <c r="E12" s="395">
        <f t="shared" si="9"/>
        <v>0</v>
      </c>
      <c r="F12" s="395">
        <f t="shared" si="10"/>
        <v>0</v>
      </c>
      <c r="G12" s="395">
        <f t="shared" si="11"/>
        <v>0</v>
      </c>
      <c r="H12" s="395">
        <f t="shared" si="3"/>
        <v>0</v>
      </c>
      <c r="I12" s="430">
        <f t="shared" si="4"/>
        <v>0</v>
      </c>
      <c r="J12" s="396" t="s">
        <v>229</v>
      </c>
      <c r="K12" s="430">
        <f t="shared" si="5"/>
        <v>8</v>
      </c>
      <c r="L12" s="396" t="s">
        <v>230</v>
      </c>
      <c r="M12" s="430">
        <v>1</v>
      </c>
      <c r="N12" s="396" t="s">
        <v>231</v>
      </c>
      <c r="O12" s="430">
        <f t="shared" si="6"/>
        <v>0</v>
      </c>
      <c r="P12" s="396" t="s">
        <v>232</v>
      </c>
    </row>
    <row r="13" ht="38.25" spans="1:16">
      <c r="A13" s="395"/>
      <c r="B13" s="397" t="str">
        <f>'Aba Carregamento'!B55</f>
        <v>pátios e áreas verdes com média frequência</v>
      </c>
      <c r="C13" s="398">
        <f>'Aba Carregamento'!D55</f>
        <v>0</v>
      </c>
      <c r="D13" s="399">
        <f>'Aba Carregamento'!E55</f>
        <v>0</v>
      </c>
      <c r="E13" s="395">
        <f t="shared" si="9"/>
        <v>0</v>
      </c>
      <c r="F13" s="395">
        <f t="shared" si="10"/>
        <v>0</v>
      </c>
      <c r="G13" s="395">
        <f t="shared" si="11"/>
        <v>0</v>
      </c>
      <c r="H13" s="395">
        <f>0</f>
        <v>0</v>
      </c>
      <c r="I13" s="430">
        <f t="shared" si="4"/>
        <v>0</v>
      </c>
      <c r="J13" s="396" t="s">
        <v>229</v>
      </c>
      <c r="K13" s="430">
        <f t="shared" si="5"/>
        <v>8</v>
      </c>
      <c r="L13" s="396" t="s">
        <v>230</v>
      </c>
      <c r="M13" s="430">
        <v>1</v>
      </c>
      <c r="N13" s="396" t="s">
        <v>231</v>
      </c>
      <c r="O13" s="430">
        <f t="shared" si="6"/>
        <v>0</v>
      </c>
      <c r="P13" s="396" t="s">
        <v>232</v>
      </c>
    </row>
    <row r="14" ht="38.25" spans="1:16">
      <c r="A14" s="395"/>
      <c r="B14" s="397" t="str">
        <f>'Aba Carregamento'!B56</f>
        <v>pátios e áreas verdes com baixa frequência</v>
      </c>
      <c r="C14" s="398">
        <f>'Aba Carregamento'!D56</f>
        <v>0</v>
      </c>
      <c r="D14" s="399">
        <f>'Aba Carregamento'!E56</f>
        <v>0</v>
      </c>
      <c r="E14" s="395">
        <f t="shared" si="9"/>
        <v>0</v>
      </c>
      <c r="F14" s="400">
        <f t="shared" ref="F14:F20" si="12">TRUNC(E10,0)</f>
        <v>0</v>
      </c>
      <c r="G14" s="395">
        <f t="shared" ref="G14:G20" si="13">E10-F14</f>
        <v>0</v>
      </c>
      <c r="H14" s="395">
        <f t="shared" si="3"/>
        <v>0</v>
      </c>
      <c r="I14" s="430">
        <f t="shared" si="4"/>
        <v>0</v>
      </c>
      <c r="J14" s="396" t="s">
        <v>229</v>
      </c>
      <c r="K14" s="430">
        <f t="shared" si="5"/>
        <v>8</v>
      </c>
      <c r="L14" s="396" t="s">
        <v>230</v>
      </c>
      <c r="M14" s="430">
        <v>1</v>
      </c>
      <c r="N14" s="396" t="s">
        <v>231</v>
      </c>
      <c r="O14" s="430">
        <f t="shared" si="6"/>
        <v>0</v>
      </c>
      <c r="P14" s="396" t="s">
        <v>232</v>
      </c>
    </row>
    <row r="15" ht="38.25" spans="1:16">
      <c r="A15" s="395"/>
      <c r="B15" s="397" t="str">
        <f>'Aba Carregamento'!B57</f>
        <v>coleta de detritos em pátios e áreas verdes com frequência diária</v>
      </c>
      <c r="C15" s="398">
        <f>'Aba Carregamento'!D57</f>
        <v>0</v>
      </c>
      <c r="D15" s="399">
        <f>'Aba Carregamento'!E57</f>
        <v>0</v>
      </c>
      <c r="E15" s="395">
        <f t="shared" si="9"/>
        <v>0</v>
      </c>
      <c r="F15" s="400">
        <f t="shared" si="12"/>
        <v>0</v>
      </c>
      <c r="G15" s="395">
        <f t="shared" si="13"/>
        <v>0</v>
      </c>
      <c r="H15" s="395">
        <f t="shared" si="3"/>
        <v>0</v>
      </c>
      <c r="I15" s="430">
        <f t="shared" si="4"/>
        <v>0</v>
      </c>
      <c r="J15" s="396" t="s">
        <v>229</v>
      </c>
      <c r="K15" s="430">
        <f t="shared" si="5"/>
        <v>8</v>
      </c>
      <c r="L15" s="396" t="s">
        <v>230</v>
      </c>
      <c r="M15" s="430">
        <v>1</v>
      </c>
      <c r="N15" s="396" t="s">
        <v>231</v>
      </c>
      <c r="O15" s="430">
        <f t="shared" si="6"/>
        <v>0</v>
      </c>
      <c r="P15" s="396" t="s">
        <v>232</v>
      </c>
    </row>
    <row r="16" ht="38.85" customHeight="1" spans="1:16">
      <c r="A16" s="396" t="s">
        <v>38</v>
      </c>
      <c r="B16" s="397" t="str">
        <f>'Aba Carregamento'!B58</f>
        <v>face externa com exposição a situação de risco</v>
      </c>
      <c r="C16" s="398">
        <f>'Aba Carregamento'!D58</f>
        <v>0</v>
      </c>
      <c r="D16" s="399">
        <f>'Aba Carregamento'!E58</f>
        <v>0</v>
      </c>
      <c r="E16" s="395">
        <f t="shared" si="9"/>
        <v>0</v>
      </c>
      <c r="F16" s="400">
        <f t="shared" si="12"/>
        <v>0</v>
      </c>
      <c r="G16" s="395">
        <f t="shared" si="13"/>
        <v>0</v>
      </c>
      <c r="H16" s="395">
        <f t="shared" si="3"/>
        <v>0</v>
      </c>
      <c r="I16" s="430">
        <f t="shared" si="4"/>
        <v>0</v>
      </c>
      <c r="J16" s="396" t="s">
        <v>229</v>
      </c>
      <c r="K16" s="430">
        <f t="shared" si="5"/>
        <v>8</v>
      </c>
      <c r="L16" s="396" t="s">
        <v>230</v>
      </c>
      <c r="M16" s="430">
        <v>1</v>
      </c>
      <c r="N16" s="396" t="s">
        <v>231</v>
      </c>
      <c r="O16" s="430">
        <f t="shared" si="6"/>
        <v>0</v>
      </c>
      <c r="P16" s="396" t="s">
        <v>232</v>
      </c>
    </row>
    <row r="17" ht="38.25" spans="1:16">
      <c r="A17" s="396"/>
      <c r="B17" s="397" t="str">
        <f>'Aba Carregamento'!B59</f>
        <v>face externa sem exposição a situação de risco</v>
      </c>
      <c r="C17" s="398">
        <f>'Aba Carregamento'!D59</f>
        <v>0</v>
      </c>
      <c r="D17" s="399">
        <f>'Aba Carregamento'!E59</f>
        <v>0</v>
      </c>
      <c r="F17" s="400">
        <f t="shared" si="12"/>
        <v>0</v>
      </c>
      <c r="G17" s="395">
        <f t="shared" si="13"/>
        <v>0</v>
      </c>
      <c r="H17" s="395">
        <f t="shared" si="3"/>
        <v>0</v>
      </c>
      <c r="I17" s="430">
        <f t="shared" si="4"/>
        <v>0</v>
      </c>
      <c r="J17" s="396" t="s">
        <v>229</v>
      </c>
      <c r="K17" s="430">
        <f t="shared" si="5"/>
        <v>8</v>
      </c>
      <c r="L17" s="396" t="s">
        <v>230</v>
      </c>
      <c r="M17" s="430">
        <v>1</v>
      </c>
      <c r="N17" s="396" t="s">
        <v>231</v>
      </c>
      <c r="O17" s="430">
        <f t="shared" si="6"/>
        <v>0</v>
      </c>
      <c r="P17" s="396" t="s">
        <v>232</v>
      </c>
    </row>
    <row r="18" ht="38.25" spans="1:16">
      <c r="A18" s="396"/>
      <c r="B18" s="397" t="str">
        <f>'Aba Carregamento'!B60</f>
        <v>face interna</v>
      </c>
      <c r="C18" s="398">
        <f>'Aba Carregamento'!D60</f>
        <v>0</v>
      </c>
      <c r="D18" s="399">
        <f>'Aba Carregamento'!E60</f>
        <v>0</v>
      </c>
      <c r="F18" s="400">
        <f t="shared" si="12"/>
        <v>0</v>
      </c>
      <c r="G18" s="395">
        <f t="shared" si="13"/>
        <v>0</v>
      </c>
      <c r="H18" s="395">
        <f t="shared" si="3"/>
        <v>0</v>
      </c>
      <c r="I18" s="430">
        <f t="shared" si="4"/>
        <v>0</v>
      </c>
      <c r="J18" s="396" t="s">
        <v>229</v>
      </c>
      <c r="K18" s="430">
        <f t="shared" si="5"/>
        <v>8</v>
      </c>
      <c r="L18" s="396" t="s">
        <v>230</v>
      </c>
      <c r="M18" s="430">
        <v>1</v>
      </c>
      <c r="N18" s="396" t="s">
        <v>231</v>
      </c>
      <c r="O18" s="430">
        <f t="shared" si="6"/>
        <v>0</v>
      </c>
      <c r="P18" s="396" t="s">
        <v>232</v>
      </c>
    </row>
    <row r="19" ht="38.25" spans="1:16">
      <c r="A19" s="402" t="s">
        <v>42</v>
      </c>
      <c r="B19" s="397" t="str">
        <f>'Aba Carregamento'!B61</f>
        <v>fachadas envidraçadas</v>
      </c>
      <c r="C19" s="398">
        <f>'Aba Carregamento'!D61</f>
        <v>0</v>
      </c>
      <c r="D19" s="399">
        <f>'Aba Carregamento'!E61</f>
        <v>0</v>
      </c>
      <c r="F19" s="400">
        <f t="shared" si="12"/>
        <v>0</v>
      </c>
      <c r="G19" s="395">
        <f t="shared" si="13"/>
        <v>0</v>
      </c>
      <c r="H19" s="395">
        <f t="shared" si="3"/>
        <v>0</v>
      </c>
      <c r="I19" s="430">
        <f t="shared" si="4"/>
        <v>0</v>
      </c>
      <c r="J19" s="396" t="s">
        <v>229</v>
      </c>
      <c r="K19" s="430">
        <f t="shared" si="5"/>
        <v>8</v>
      </c>
      <c r="L19" s="396" t="s">
        <v>230</v>
      </c>
      <c r="M19" s="430">
        <v>1</v>
      </c>
      <c r="N19" s="396" t="s">
        <v>231</v>
      </c>
      <c r="O19" s="430">
        <f t="shared" si="6"/>
        <v>0</v>
      </c>
      <c r="P19" s="396" t="s">
        <v>232</v>
      </c>
    </row>
    <row r="20" ht="38.25" spans="1:16">
      <c r="A20" s="402" t="s">
        <v>44</v>
      </c>
      <c r="B20" s="397" t="str">
        <f>'Aba Carregamento'!B62</f>
        <v>áreas hospitalares e assemelhadas</v>
      </c>
      <c r="C20" s="398">
        <f>'Aba Carregamento'!D62</f>
        <v>0</v>
      </c>
      <c r="D20" s="399">
        <f>'Aba Carregamento'!E62</f>
        <v>0</v>
      </c>
      <c r="F20" s="400">
        <f t="shared" si="12"/>
        <v>0</v>
      </c>
      <c r="G20" s="395">
        <f t="shared" si="13"/>
        <v>0</v>
      </c>
      <c r="H20" s="395">
        <f t="shared" si="3"/>
        <v>0</v>
      </c>
      <c r="I20" s="430">
        <f t="shared" si="4"/>
        <v>0</v>
      </c>
      <c r="J20" s="396" t="s">
        <v>229</v>
      </c>
      <c r="K20" s="430">
        <f t="shared" si="5"/>
        <v>8</v>
      </c>
      <c r="L20" s="396" t="s">
        <v>230</v>
      </c>
      <c r="M20" s="430">
        <v>1</v>
      </c>
      <c r="N20" s="396" t="s">
        <v>231</v>
      </c>
      <c r="O20" s="430">
        <f t="shared" si="6"/>
        <v>0</v>
      </c>
      <c r="P20" s="396" t="s">
        <v>232</v>
      </c>
    </row>
    <row r="21" s="391" customFormat="1" ht="15.75" spans="1:16">
      <c r="A21" s="403"/>
      <c r="B21" s="403"/>
      <c r="C21" s="404"/>
      <c r="D21" s="405">
        <f>SUM(D3:D20)</f>
        <v>739.35</v>
      </c>
      <c r="E21" s="406"/>
      <c r="F21" s="407"/>
      <c r="G21" s="406"/>
      <c r="H21" s="406"/>
      <c r="I21" s="431"/>
      <c r="J21" s="404"/>
      <c r="K21" s="431"/>
      <c r="L21" s="404"/>
      <c r="M21" s="431"/>
      <c r="N21" s="404"/>
      <c r="O21" s="431"/>
      <c r="P21" s="404"/>
    </row>
    <row r="22" s="392" customFormat="1" ht="53.1" customHeight="1" spans="1:18">
      <c r="A22" s="408" t="s">
        <v>233</v>
      </c>
      <c r="B22" s="408"/>
      <c r="C22" s="408"/>
      <c r="D22" s="408"/>
      <c r="E22" s="395">
        <f>SUM(E3:E16)</f>
        <v>4.1075</v>
      </c>
      <c r="F22" s="409">
        <f>TRUNC(E22,0)</f>
        <v>4</v>
      </c>
      <c r="G22" s="395">
        <f>E22-F22</f>
        <v>0.1075</v>
      </c>
      <c r="H22" s="395">
        <f>G22*$C$24*60</f>
        <v>51.6</v>
      </c>
      <c r="I22" s="432">
        <f>F22</f>
        <v>4</v>
      </c>
      <c r="J22" s="396" t="s">
        <v>229</v>
      </c>
      <c r="K22" s="430">
        <f>$C$24</f>
        <v>8</v>
      </c>
      <c r="L22" s="396" t="s">
        <v>230</v>
      </c>
      <c r="M22" s="432">
        <v>1</v>
      </c>
      <c r="N22" s="396" t="s">
        <v>231</v>
      </c>
      <c r="O22" s="432">
        <f>H22</f>
        <v>51.6</v>
      </c>
      <c r="P22" s="396" t="s">
        <v>232</v>
      </c>
      <c r="Q22" s="437" t="s">
        <v>234</v>
      </c>
      <c r="R22" s="438"/>
    </row>
    <row r="23" s="392" customFormat="1" ht="15.75" spans="1:16">
      <c r="A23" s="403"/>
      <c r="B23" s="403"/>
      <c r="C23" s="403"/>
      <c r="D23" s="410"/>
      <c r="E23" s="411"/>
      <c r="F23" s="412"/>
      <c r="G23" s="411"/>
      <c r="H23" s="411"/>
      <c r="I23" s="433"/>
      <c r="J23" s="404"/>
      <c r="K23" s="431"/>
      <c r="L23" s="404"/>
      <c r="M23" s="431"/>
      <c r="N23" s="404"/>
      <c r="O23" s="433"/>
      <c r="P23" s="404"/>
    </row>
    <row r="24" ht="20.65" customHeight="1" spans="1:14">
      <c r="A24" s="413" t="s">
        <v>235</v>
      </c>
      <c r="B24" s="413"/>
      <c r="C24" s="414">
        <f>'Aba Carregamento'!B79</f>
        <v>8</v>
      </c>
      <c r="D24" s="415" t="s">
        <v>236</v>
      </c>
      <c r="E24" s="416" t="s">
        <v>237</v>
      </c>
      <c r="F24" s="416"/>
      <c r="G24" s="416"/>
      <c r="H24" s="416"/>
      <c r="I24" s="416"/>
      <c r="J24" s="416"/>
      <c r="K24" s="416"/>
      <c r="L24" s="434">
        <f>F22+G22</f>
        <v>4.1075</v>
      </c>
      <c r="M24" s="434"/>
      <c r="N24" s="434"/>
    </row>
    <row r="25" ht="15" spans="1:8">
      <c r="A25" s="417"/>
      <c r="B25" s="417"/>
      <c r="C25" s="418"/>
      <c r="D25" s="418"/>
      <c r="E25" s="418"/>
      <c r="F25" s="46"/>
      <c r="G25" s="418"/>
      <c r="H25" s="418"/>
    </row>
    <row r="26" ht="19.35" customHeight="1" spans="1:16">
      <c r="A26" s="419" t="s">
        <v>238</v>
      </c>
      <c r="B26" s="419"/>
      <c r="C26" s="419"/>
      <c r="D26" s="419"/>
      <c r="E26" s="419"/>
      <c r="F26" s="419"/>
      <c r="G26" s="419"/>
      <c r="H26" s="419"/>
      <c r="I26" s="419"/>
      <c r="J26" s="419"/>
      <c r="K26" s="419"/>
      <c r="L26" s="419"/>
      <c r="M26" s="419"/>
      <c r="N26" s="419"/>
      <c r="O26" s="419"/>
      <c r="P26" s="419"/>
    </row>
    <row r="27" s="46" customFormat="1" ht="19.35" customHeight="1" spans="1:16">
      <c r="A27" s="419" t="s">
        <v>239</v>
      </c>
      <c r="B27" s="419"/>
      <c r="C27" s="419"/>
      <c r="D27" s="419"/>
      <c r="E27" s="419"/>
      <c r="F27" s="419"/>
      <c r="G27" s="419"/>
      <c r="H27" s="419"/>
      <c r="I27" s="419"/>
      <c r="J27" s="419"/>
      <c r="K27" s="419"/>
      <c r="L27" s="419"/>
      <c r="M27" s="419"/>
      <c r="N27" s="419"/>
      <c r="O27" s="419"/>
      <c r="P27" s="419"/>
    </row>
    <row r="28" s="46" customFormat="1" ht="35.85" customHeight="1" spans="1:19">
      <c r="A28" s="420" t="s">
        <v>240</v>
      </c>
      <c r="B28" s="420"/>
      <c r="C28" s="420"/>
      <c r="D28" s="420"/>
      <c r="E28" s="420"/>
      <c r="F28" s="420"/>
      <c r="G28" s="420"/>
      <c r="H28" s="420"/>
      <c r="I28" s="420"/>
      <c r="J28" s="420"/>
      <c r="K28" s="420"/>
      <c r="L28" s="420"/>
      <c r="M28" s="420"/>
      <c r="N28" s="420"/>
      <c r="O28" s="420"/>
      <c r="P28" s="420"/>
      <c r="Q28" s="425"/>
      <c r="R28" s="425"/>
      <c r="S28" s="425"/>
    </row>
    <row r="29" s="46" customFormat="1" ht="36.4" customHeight="1" spans="1:19">
      <c r="A29" s="420" t="s">
        <v>241</v>
      </c>
      <c r="B29" s="420"/>
      <c r="C29" s="420"/>
      <c r="D29" s="420"/>
      <c r="E29" s="420"/>
      <c r="F29" s="420"/>
      <c r="G29" s="420"/>
      <c r="H29" s="420"/>
      <c r="I29" s="420"/>
      <c r="J29" s="420"/>
      <c r="K29" s="420"/>
      <c r="L29" s="420"/>
      <c r="M29" s="420"/>
      <c r="N29" s="420"/>
      <c r="O29" s="420"/>
      <c r="P29" s="420"/>
      <c r="Q29" s="425"/>
      <c r="R29" s="425"/>
      <c r="S29" s="425"/>
    </row>
    <row r="30" s="46" customFormat="1" ht="36.4" customHeight="1" spans="1:19">
      <c r="A30" s="420" t="s">
        <v>242</v>
      </c>
      <c r="B30" s="420"/>
      <c r="C30" s="420"/>
      <c r="D30" s="420"/>
      <c r="E30" s="420"/>
      <c r="F30" s="420"/>
      <c r="G30" s="420"/>
      <c r="H30" s="420"/>
      <c r="I30" s="420"/>
      <c r="J30" s="420"/>
      <c r="K30" s="420"/>
      <c r="L30" s="420"/>
      <c r="M30" s="420"/>
      <c r="N30" s="420"/>
      <c r="O30" s="420"/>
      <c r="P30" s="420"/>
      <c r="Q30" s="425"/>
      <c r="R30" s="425"/>
      <c r="S30" s="425"/>
    </row>
    <row r="31" s="46" customFormat="1" ht="19.35" customHeight="1" spans="1:19">
      <c r="A31" s="420"/>
      <c r="B31" s="420"/>
      <c r="C31" s="420"/>
      <c r="D31" s="420"/>
      <c r="E31" s="420"/>
      <c r="F31" s="420"/>
      <c r="G31" s="420"/>
      <c r="H31" s="420"/>
      <c r="I31" s="420"/>
      <c r="J31" s="420"/>
      <c r="K31" s="420"/>
      <c r="L31" s="420"/>
      <c r="M31" s="420"/>
      <c r="N31" s="420"/>
      <c r="O31" s="420"/>
      <c r="P31" s="420"/>
      <c r="Q31" s="425"/>
      <c r="R31" s="425"/>
      <c r="S31" s="425"/>
    </row>
    <row r="32" s="46" customFormat="1" ht="19.35" customHeight="1" spans="1:19">
      <c r="A32" s="421" t="s">
        <v>243</v>
      </c>
      <c r="B32" s="421"/>
      <c r="C32" s="421"/>
      <c r="D32" s="421"/>
      <c r="E32" s="421"/>
      <c r="F32" s="421"/>
      <c r="G32" s="421"/>
      <c r="H32" s="421"/>
      <c r="I32" s="421"/>
      <c r="J32" s="421"/>
      <c r="K32" s="421"/>
      <c r="L32" s="421"/>
      <c r="M32" s="421"/>
      <c r="N32" s="421"/>
      <c r="O32" s="421"/>
      <c r="P32" s="421"/>
      <c r="Q32" s="425"/>
      <c r="R32" s="425"/>
      <c r="S32" s="425"/>
    </row>
    <row r="33" s="46" customFormat="1" ht="36.4" customHeight="1" spans="1:19">
      <c r="A33" s="421" t="s">
        <v>244</v>
      </c>
      <c r="B33" s="421"/>
      <c r="C33" s="421"/>
      <c r="D33" s="421"/>
      <c r="E33" s="421"/>
      <c r="F33" s="421"/>
      <c r="G33" s="421"/>
      <c r="H33" s="421"/>
      <c r="I33" s="421"/>
      <c r="J33" s="421"/>
      <c r="K33" s="421"/>
      <c r="L33" s="421"/>
      <c r="M33" s="421"/>
      <c r="N33" s="421"/>
      <c r="O33" s="421"/>
      <c r="P33" s="421"/>
      <c r="Q33" s="425"/>
      <c r="R33" s="425"/>
      <c r="S33" s="425"/>
    </row>
    <row r="34" s="46" customFormat="1" ht="18" spans="1:19">
      <c r="A34" s="422" t="s">
        <v>245</v>
      </c>
      <c r="B34" s="422"/>
      <c r="C34" s="422"/>
      <c r="D34" s="422"/>
      <c r="E34" s="422"/>
      <c r="F34" s="422"/>
      <c r="G34" s="422"/>
      <c r="H34" s="422"/>
      <c r="I34" s="422"/>
      <c r="J34" s="422"/>
      <c r="K34" s="422"/>
      <c r="L34" s="422"/>
      <c r="M34" s="422"/>
      <c r="N34" s="422"/>
      <c r="O34" s="422"/>
      <c r="P34" s="422"/>
      <c r="Q34" s="425"/>
      <c r="R34" s="425"/>
      <c r="S34" s="425"/>
    </row>
    <row r="35" s="46" customFormat="1" ht="18" spans="1:19">
      <c r="A35" s="423" t="s">
        <v>246</v>
      </c>
      <c r="B35" s="423"/>
      <c r="C35" s="423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  <c r="O35" s="423"/>
      <c r="P35" s="423"/>
      <c r="Q35" s="425"/>
      <c r="R35" s="425"/>
      <c r="S35" s="425"/>
    </row>
    <row r="36" s="46" customFormat="1" ht="36.4" customHeight="1" spans="1:19">
      <c r="A36" s="424" t="s">
        <v>247</v>
      </c>
      <c r="B36" s="424"/>
      <c r="C36" s="424"/>
      <c r="D36" s="424"/>
      <c r="E36" s="424"/>
      <c r="F36" s="424"/>
      <c r="G36" s="424"/>
      <c r="H36" s="424"/>
      <c r="I36" s="424"/>
      <c r="J36" s="424"/>
      <c r="K36" s="424"/>
      <c r="L36" s="424"/>
      <c r="M36" s="424"/>
      <c r="N36" s="424"/>
      <c r="O36" s="424"/>
      <c r="P36" s="424"/>
      <c r="Q36" s="425"/>
      <c r="R36" s="425"/>
      <c r="S36" s="425"/>
    </row>
    <row r="37" s="46" customFormat="1" ht="18" spans="1:19">
      <c r="A37" s="425"/>
      <c r="B37" s="425"/>
      <c r="C37" s="425"/>
      <c r="D37" s="425"/>
      <c r="E37" s="426"/>
      <c r="F37" s="425"/>
      <c r="G37" s="426"/>
      <c r="H37" s="426"/>
      <c r="I37" s="425"/>
      <c r="J37" s="425"/>
      <c r="K37" s="425"/>
      <c r="L37" s="425"/>
      <c r="M37" s="425"/>
      <c r="N37" s="425"/>
      <c r="O37" s="425"/>
      <c r="P37" s="425"/>
      <c r="Q37" s="425"/>
      <c r="R37" s="425"/>
      <c r="S37" s="425"/>
    </row>
    <row r="38" s="46" customFormat="1" ht="18" spans="1:19">
      <c r="A38" s="425"/>
      <c r="B38" s="425"/>
      <c r="C38" s="425"/>
      <c r="D38" s="425"/>
      <c r="E38" s="426"/>
      <c r="F38" s="425"/>
      <c r="G38" s="426"/>
      <c r="H38" s="426"/>
      <c r="I38" s="425"/>
      <c r="J38" s="425"/>
      <c r="K38" s="425"/>
      <c r="L38" s="425"/>
      <c r="M38" s="425"/>
      <c r="N38" s="425"/>
      <c r="O38" s="425"/>
      <c r="P38" s="425"/>
      <c r="Q38" s="425"/>
      <c r="R38" s="425"/>
      <c r="S38" s="425"/>
    </row>
    <row r="39" s="46" customFormat="1" ht="19.35" customHeight="1" spans="1:19">
      <c r="A39" s="427" t="s">
        <v>248</v>
      </c>
      <c r="B39" s="427"/>
      <c r="C39" s="427"/>
      <c r="D39" s="427"/>
      <c r="E39" s="427"/>
      <c r="F39" s="427"/>
      <c r="G39" s="427"/>
      <c r="H39" s="427"/>
      <c r="I39" s="427"/>
      <c r="J39" s="427"/>
      <c r="K39" s="427"/>
      <c r="L39" s="427"/>
      <c r="M39" s="427"/>
      <c r="N39" s="427"/>
      <c r="O39" s="427"/>
      <c r="P39" s="427"/>
      <c r="Q39" s="427"/>
      <c r="R39" s="427"/>
      <c r="S39" s="427"/>
    </row>
    <row r="40" s="46" customFormat="1" ht="18" spans="1:19">
      <c r="A40" s="425"/>
      <c r="B40" s="425"/>
      <c r="C40" s="425"/>
      <c r="D40" s="425"/>
      <c r="E40" s="426"/>
      <c r="F40" s="425"/>
      <c r="G40" s="426"/>
      <c r="H40" s="426"/>
      <c r="I40" s="425"/>
      <c r="J40" s="425"/>
      <c r="K40" s="425"/>
      <c r="L40" s="425"/>
      <c r="M40" s="425"/>
      <c r="N40" s="425"/>
      <c r="O40" s="425"/>
      <c r="P40" s="425"/>
      <c r="Q40" s="425"/>
      <c r="R40" s="425"/>
      <c r="S40" s="425"/>
    </row>
    <row r="41" s="46" customFormat="1" ht="36.4" customHeight="1" spans="1:19">
      <c r="A41" s="427" t="s">
        <v>249</v>
      </c>
      <c r="B41" s="427"/>
      <c r="C41" s="427"/>
      <c r="D41" s="427"/>
      <c r="E41" s="427"/>
      <c r="F41" s="427"/>
      <c r="G41" s="427"/>
      <c r="H41" s="427"/>
      <c r="I41" s="427"/>
      <c r="J41" s="427"/>
      <c r="K41" s="427"/>
      <c r="L41" s="427"/>
      <c r="M41" s="427"/>
      <c r="N41" s="427"/>
      <c r="O41" s="427"/>
      <c r="P41" s="427"/>
      <c r="Q41" s="427"/>
      <c r="R41" s="427"/>
      <c r="S41" s="427"/>
    </row>
    <row r="42" s="46" customFormat="1" ht="18" spans="1:19">
      <c r="A42" s="425"/>
      <c r="B42" s="425"/>
      <c r="C42" s="425"/>
      <c r="D42" s="425"/>
      <c r="E42" s="426"/>
      <c r="F42" s="425"/>
      <c r="G42" s="426"/>
      <c r="H42" s="426"/>
      <c r="I42" s="425"/>
      <c r="J42" s="425"/>
      <c r="K42" s="425"/>
      <c r="L42" s="425"/>
      <c r="M42" s="425"/>
      <c r="N42" s="425"/>
      <c r="O42" s="425"/>
      <c r="P42" s="425"/>
      <c r="Q42" s="425"/>
      <c r="R42" s="425"/>
      <c r="S42" s="425"/>
    </row>
    <row r="43" s="46" customFormat="1" ht="19.35" customHeight="1" spans="1:19">
      <c r="A43" s="427" t="s">
        <v>250</v>
      </c>
      <c r="B43" s="427"/>
      <c r="C43" s="427"/>
      <c r="D43" s="427"/>
      <c r="E43" s="427"/>
      <c r="F43" s="427"/>
      <c r="G43" s="427"/>
      <c r="H43" s="427"/>
      <c r="I43" s="427"/>
      <c r="J43" s="427"/>
      <c r="K43" s="427"/>
      <c r="L43" s="427"/>
      <c r="M43" s="427"/>
      <c r="N43" s="427"/>
      <c r="O43" s="427"/>
      <c r="P43" s="427"/>
      <c r="Q43" s="427"/>
      <c r="R43" s="427"/>
      <c r="S43" s="427"/>
    </row>
    <row r="44" s="46" customFormat="1" ht="19.35" customHeight="1" spans="1:19">
      <c r="A44" s="427" t="s">
        <v>251</v>
      </c>
      <c r="B44" s="427"/>
      <c r="C44" s="427"/>
      <c r="D44" s="427"/>
      <c r="E44" s="427"/>
      <c r="F44" s="427"/>
      <c r="G44" s="427"/>
      <c r="H44" s="427"/>
      <c r="I44" s="427"/>
      <c r="J44" s="427"/>
      <c r="K44" s="427"/>
      <c r="L44" s="427"/>
      <c r="M44" s="427"/>
      <c r="N44" s="427"/>
      <c r="O44" s="427"/>
      <c r="P44" s="425"/>
      <c r="Q44" s="425"/>
      <c r="R44" s="425"/>
      <c r="S44" s="425"/>
    </row>
    <row r="45" s="46" customFormat="1" ht="35.85" customHeight="1" spans="1:19">
      <c r="A45" s="428" t="s">
        <v>252</v>
      </c>
      <c r="B45" s="428"/>
      <c r="C45" s="428"/>
      <c r="D45" s="428"/>
      <c r="E45" s="428"/>
      <c r="F45" s="428"/>
      <c r="G45" s="428"/>
      <c r="H45" s="428"/>
      <c r="I45" s="428"/>
      <c r="J45" s="428"/>
      <c r="K45" s="428"/>
      <c r="L45" s="428"/>
      <c r="M45" s="428"/>
      <c r="N45" s="428"/>
      <c r="O45" s="428"/>
      <c r="P45" s="428"/>
      <c r="Q45" s="425"/>
      <c r="R45" s="425"/>
      <c r="S45" s="425"/>
    </row>
  </sheetData>
  <mergeCells count="25">
    <mergeCell ref="A1:P1"/>
    <mergeCell ref="I2:P2"/>
    <mergeCell ref="A22:D22"/>
    <mergeCell ref="A24:B24"/>
    <mergeCell ref="E24:K24"/>
    <mergeCell ref="L24:N24"/>
    <mergeCell ref="A26:P26"/>
    <mergeCell ref="A27:P27"/>
    <mergeCell ref="A28:P28"/>
    <mergeCell ref="A29:P29"/>
    <mergeCell ref="A30:P30"/>
    <mergeCell ref="A31:P31"/>
    <mergeCell ref="A32:P32"/>
    <mergeCell ref="A33:P33"/>
    <mergeCell ref="A34:P34"/>
    <mergeCell ref="A35:P35"/>
    <mergeCell ref="A36:P36"/>
    <mergeCell ref="A39:S39"/>
    <mergeCell ref="A41:S41"/>
    <mergeCell ref="A43:S43"/>
    <mergeCell ref="A44:O44"/>
    <mergeCell ref="A45:P45"/>
    <mergeCell ref="A3:A9"/>
    <mergeCell ref="A10:A15"/>
    <mergeCell ref="A16:A18"/>
  </mergeCells>
  <printOptions horizontalCentered="1"/>
  <pageMargins left="0.393055555555556" right="0.393055555555556" top="0.393055555555556" bottom="0.393055555555556" header="0.786805555555556" footer="0.786805555555556"/>
  <pageSetup paperSize="9" scale="60" orientation="landscape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4" tint="-0.249977111117893"/>
  </sheetPr>
  <dimension ref="A1:Q355"/>
  <sheetViews>
    <sheetView showGridLines="0" topLeftCell="A311" workbookViewId="0">
      <selection activeCell="F307" sqref="F307:G313"/>
    </sheetView>
  </sheetViews>
  <sheetFormatPr defaultColWidth="9.14285714285714" defaultRowHeight="12.75"/>
  <cols>
    <col min="1" max="1" width="15.2857142857143" style="199" customWidth="1"/>
    <col min="2" max="2" width="11.1428571428571" style="199" customWidth="1"/>
    <col min="3" max="3" width="13.2857142857143" style="199" customWidth="1"/>
    <col min="4" max="4" width="10.1428571428571" style="199" customWidth="1"/>
    <col min="5" max="5" width="12.4285714285714" style="199" customWidth="1"/>
    <col min="6" max="6" width="11.2857142857143" style="199" customWidth="1"/>
    <col min="7" max="7" width="9.85714285714286" style="199" customWidth="1"/>
    <col min="8" max="8" width="13.4285714285714" style="199" customWidth="1"/>
    <col min="9" max="9" width="14.5714285714286" style="199" customWidth="1"/>
    <col min="10" max="10" width="11.5714285714286" style="199" customWidth="1"/>
    <col min="11" max="11" width="11.1428571428571" style="199" hidden="1" customWidth="1"/>
    <col min="12" max="12" width="7.42857142857143" style="199" hidden="1" customWidth="1"/>
    <col min="13" max="13" width="6.57142857142857" style="199" hidden="1" customWidth="1"/>
    <col min="14" max="14" width="9.14285714285714" style="199" hidden="1" customWidth="1"/>
    <col min="15" max="15" width="9.28571428571429" style="199" hidden="1" customWidth="1"/>
    <col min="16" max="16" width="9.14285714285714" style="199" hidden="1" customWidth="1"/>
    <col min="17" max="256" width="9.14285714285714" style="199"/>
    <col min="257" max="257" width="15.2857142857143" style="199" customWidth="1"/>
    <col min="258" max="258" width="11.1428571428571" style="199" customWidth="1"/>
    <col min="259" max="259" width="13.2857142857143" style="199" customWidth="1"/>
    <col min="260" max="260" width="10.1428571428571" style="199" customWidth="1"/>
    <col min="261" max="261" width="12.4285714285714" style="199" customWidth="1"/>
    <col min="262" max="262" width="11.2857142857143" style="199" customWidth="1"/>
    <col min="263" max="263" width="9.85714285714286" style="199" customWidth="1"/>
    <col min="264" max="264" width="13.4285714285714" style="199" customWidth="1"/>
    <col min="265" max="265" width="14.5714285714286" style="199" customWidth="1"/>
    <col min="266" max="266" width="11.5714285714286" style="199" customWidth="1"/>
    <col min="267" max="267" width="11.1428571428571" style="199" customWidth="1"/>
    <col min="268" max="268" width="7.42857142857143" style="199" customWidth="1"/>
    <col min="269" max="269" width="6.57142857142857" style="199" customWidth="1"/>
    <col min="270" max="271" width="9.28571428571429" style="199" customWidth="1"/>
    <col min="272" max="512" width="9.14285714285714" style="199"/>
    <col min="513" max="513" width="15.2857142857143" style="199" customWidth="1"/>
    <col min="514" max="514" width="11.1428571428571" style="199" customWidth="1"/>
    <col min="515" max="515" width="13.2857142857143" style="199" customWidth="1"/>
    <col min="516" max="516" width="10.1428571428571" style="199" customWidth="1"/>
    <col min="517" max="517" width="12.4285714285714" style="199" customWidth="1"/>
    <col min="518" max="518" width="11.2857142857143" style="199" customWidth="1"/>
    <col min="519" max="519" width="9.85714285714286" style="199" customWidth="1"/>
    <col min="520" max="520" width="13.4285714285714" style="199" customWidth="1"/>
    <col min="521" max="521" width="14.5714285714286" style="199" customWidth="1"/>
    <col min="522" max="522" width="11.5714285714286" style="199" customWidth="1"/>
    <col min="523" max="523" width="11.1428571428571" style="199" customWidth="1"/>
    <col min="524" max="524" width="7.42857142857143" style="199" customWidth="1"/>
    <col min="525" max="525" width="6.57142857142857" style="199" customWidth="1"/>
    <col min="526" max="527" width="9.28571428571429" style="199" customWidth="1"/>
    <col min="528" max="768" width="9.14285714285714" style="199"/>
    <col min="769" max="769" width="15.2857142857143" style="199" customWidth="1"/>
    <col min="770" max="770" width="11.1428571428571" style="199" customWidth="1"/>
    <col min="771" max="771" width="13.2857142857143" style="199" customWidth="1"/>
    <col min="772" max="772" width="10.1428571428571" style="199" customWidth="1"/>
    <col min="773" max="773" width="12.4285714285714" style="199" customWidth="1"/>
    <col min="774" max="774" width="11.2857142857143" style="199" customWidth="1"/>
    <col min="775" max="775" width="9.85714285714286" style="199" customWidth="1"/>
    <col min="776" max="776" width="13.4285714285714" style="199" customWidth="1"/>
    <col min="777" max="777" width="14.5714285714286" style="199" customWidth="1"/>
    <col min="778" max="778" width="11.5714285714286" style="199" customWidth="1"/>
    <col min="779" max="779" width="11.1428571428571" style="199" customWidth="1"/>
    <col min="780" max="780" width="7.42857142857143" style="199" customWidth="1"/>
    <col min="781" max="781" width="6.57142857142857" style="199" customWidth="1"/>
    <col min="782" max="783" width="9.28571428571429" style="199" customWidth="1"/>
    <col min="784" max="1024" width="9.14285714285714" style="199"/>
    <col min="1025" max="1025" width="15.2857142857143" style="199" customWidth="1"/>
    <col min="1026" max="1026" width="11.1428571428571" style="199" customWidth="1"/>
    <col min="1027" max="1027" width="13.2857142857143" style="199" customWidth="1"/>
    <col min="1028" max="1028" width="10.1428571428571" style="199" customWidth="1"/>
    <col min="1029" max="1029" width="12.4285714285714" style="199" customWidth="1"/>
    <col min="1030" max="1030" width="11.2857142857143" style="199" customWidth="1"/>
    <col min="1031" max="1031" width="9.85714285714286" style="199" customWidth="1"/>
    <col min="1032" max="1032" width="13.4285714285714" style="199" customWidth="1"/>
    <col min="1033" max="1033" width="14.5714285714286" style="199" customWidth="1"/>
    <col min="1034" max="1034" width="11.5714285714286" style="199" customWidth="1"/>
    <col min="1035" max="1035" width="11.1428571428571" style="199" customWidth="1"/>
    <col min="1036" max="1036" width="7.42857142857143" style="199" customWidth="1"/>
    <col min="1037" max="1037" width="6.57142857142857" style="199" customWidth="1"/>
    <col min="1038" max="1039" width="9.28571428571429" style="199" customWidth="1"/>
    <col min="1040" max="1280" width="9.14285714285714" style="199"/>
    <col min="1281" max="1281" width="15.2857142857143" style="199" customWidth="1"/>
    <col min="1282" max="1282" width="11.1428571428571" style="199" customWidth="1"/>
    <col min="1283" max="1283" width="13.2857142857143" style="199" customWidth="1"/>
    <col min="1284" max="1284" width="10.1428571428571" style="199" customWidth="1"/>
    <col min="1285" max="1285" width="12.4285714285714" style="199" customWidth="1"/>
    <col min="1286" max="1286" width="11.2857142857143" style="199" customWidth="1"/>
    <col min="1287" max="1287" width="9.85714285714286" style="199" customWidth="1"/>
    <col min="1288" max="1288" width="13.4285714285714" style="199" customWidth="1"/>
    <col min="1289" max="1289" width="14.5714285714286" style="199" customWidth="1"/>
    <col min="1290" max="1290" width="11.5714285714286" style="199" customWidth="1"/>
    <col min="1291" max="1291" width="11.1428571428571" style="199" customWidth="1"/>
    <col min="1292" max="1292" width="7.42857142857143" style="199" customWidth="1"/>
    <col min="1293" max="1293" width="6.57142857142857" style="199" customWidth="1"/>
    <col min="1294" max="1295" width="9.28571428571429" style="199" customWidth="1"/>
    <col min="1296" max="1536" width="9.14285714285714" style="199"/>
    <col min="1537" max="1537" width="15.2857142857143" style="199" customWidth="1"/>
    <col min="1538" max="1538" width="11.1428571428571" style="199" customWidth="1"/>
    <col min="1539" max="1539" width="13.2857142857143" style="199" customWidth="1"/>
    <col min="1540" max="1540" width="10.1428571428571" style="199" customWidth="1"/>
    <col min="1541" max="1541" width="12.4285714285714" style="199" customWidth="1"/>
    <col min="1542" max="1542" width="11.2857142857143" style="199" customWidth="1"/>
    <col min="1543" max="1543" width="9.85714285714286" style="199" customWidth="1"/>
    <col min="1544" max="1544" width="13.4285714285714" style="199" customWidth="1"/>
    <col min="1545" max="1545" width="14.5714285714286" style="199" customWidth="1"/>
    <col min="1546" max="1546" width="11.5714285714286" style="199" customWidth="1"/>
    <col min="1547" max="1547" width="11.1428571428571" style="199" customWidth="1"/>
    <col min="1548" max="1548" width="7.42857142857143" style="199" customWidth="1"/>
    <col min="1549" max="1549" width="6.57142857142857" style="199" customWidth="1"/>
    <col min="1550" max="1551" width="9.28571428571429" style="199" customWidth="1"/>
    <col min="1552" max="1792" width="9.14285714285714" style="199"/>
    <col min="1793" max="1793" width="15.2857142857143" style="199" customWidth="1"/>
    <col min="1794" max="1794" width="11.1428571428571" style="199" customWidth="1"/>
    <col min="1795" max="1795" width="13.2857142857143" style="199" customWidth="1"/>
    <col min="1796" max="1796" width="10.1428571428571" style="199" customWidth="1"/>
    <col min="1797" max="1797" width="12.4285714285714" style="199" customWidth="1"/>
    <col min="1798" max="1798" width="11.2857142857143" style="199" customWidth="1"/>
    <col min="1799" max="1799" width="9.85714285714286" style="199" customWidth="1"/>
    <col min="1800" max="1800" width="13.4285714285714" style="199" customWidth="1"/>
    <col min="1801" max="1801" width="14.5714285714286" style="199" customWidth="1"/>
    <col min="1802" max="1802" width="11.5714285714286" style="199" customWidth="1"/>
    <col min="1803" max="1803" width="11.1428571428571" style="199" customWidth="1"/>
    <col min="1804" max="1804" width="7.42857142857143" style="199" customWidth="1"/>
    <col min="1805" max="1805" width="6.57142857142857" style="199" customWidth="1"/>
    <col min="1806" max="1807" width="9.28571428571429" style="199" customWidth="1"/>
    <col min="1808" max="2048" width="9.14285714285714" style="199"/>
    <col min="2049" max="2049" width="15.2857142857143" style="199" customWidth="1"/>
    <col min="2050" max="2050" width="11.1428571428571" style="199" customWidth="1"/>
    <col min="2051" max="2051" width="13.2857142857143" style="199" customWidth="1"/>
    <col min="2052" max="2052" width="10.1428571428571" style="199" customWidth="1"/>
    <col min="2053" max="2053" width="12.4285714285714" style="199" customWidth="1"/>
    <col min="2054" max="2054" width="11.2857142857143" style="199" customWidth="1"/>
    <col min="2055" max="2055" width="9.85714285714286" style="199" customWidth="1"/>
    <col min="2056" max="2056" width="13.4285714285714" style="199" customWidth="1"/>
    <col min="2057" max="2057" width="14.5714285714286" style="199" customWidth="1"/>
    <col min="2058" max="2058" width="11.5714285714286" style="199" customWidth="1"/>
    <col min="2059" max="2059" width="11.1428571428571" style="199" customWidth="1"/>
    <col min="2060" max="2060" width="7.42857142857143" style="199" customWidth="1"/>
    <col min="2061" max="2061" width="6.57142857142857" style="199" customWidth="1"/>
    <col min="2062" max="2063" width="9.28571428571429" style="199" customWidth="1"/>
    <col min="2064" max="2304" width="9.14285714285714" style="199"/>
    <col min="2305" max="2305" width="15.2857142857143" style="199" customWidth="1"/>
    <col min="2306" max="2306" width="11.1428571428571" style="199" customWidth="1"/>
    <col min="2307" max="2307" width="13.2857142857143" style="199" customWidth="1"/>
    <col min="2308" max="2308" width="10.1428571428571" style="199" customWidth="1"/>
    <col min="2309" max="2309" width="12.4285714285714" style="199" customWidth="1"/>
    <col min="2310" max="2310" width="11.2857142857143" style="199" customWidth="1"/>
    <col min="2311" max="2311" width="9.85714285714286" style="199" customWidth="1"/>
    <col min="2312" max="2312" width="13.4285714285714" style="199" customWidth="1"/>
    <col min="2313" max="2313" width="14.5714285714286" style="199" customWidth="1"/>
    <col min="2314" max="2314" width="11.5714285714286" style="199" customWidth="1"/>
    <col min="2315" max="2315" width="11.1428571428571" style="199" customWidth="1"/>
    <col min="2316" max="2316" width="7.42857142857143" style="199" customWidth="1"/>
    <col min="2317" max="2317" width="6.57142857142857" style="199" customWidth="1"/>
    <col min="2318" max="2319" width="9.28571428571429" style="199" customWidth="1"/>
    <col min="2320" max="2560" width="9.14285714285714" style="199"/>
    <col min="2561" max="2561" width="15.2857142857143" style="199" customWidth="1"/>
    <col min="2562" max="2562" width="11.1428571428571" style="199" customWidth="1"/>
    <col min="2563" max="2563" width="13.2857142857143" style="199" customWidth="1"/>
    <col min="2564" max="2564" width="10.1428571428571" style="199" customWidth="1"/>
    <col min="2565" max="2565" width="12.4285714285714" style="199" customWidth="1"/>
    <col min="2566" max="2566" width="11.2857142857143" style="199" customWidth="1"/>
    <col min="2567" max="2567" width="9.85714285714286" style="199" customWidth="1"/>
    <col min="2568" max="2568" width="13.4285714285714" style="199" customWidth="1"/>
    <col min="2569" max="2569" width="14.5714285714286" style="199" customWidth="1"/>
    <col min="2570" max="2570" width="11.5714285714286" style="199" customWidth="1"/>
    <col min="2571" max="2571" width="11.1428571428571" style="199" customWidth="1"/>
    <col min="2572" max="2572" width="7.42857142857143" style="199" customWidth="1"/>
    <col min="2573" max="2573" width="6.57142857142857" style="199" customWidth="1"/>
    <col min="2574" max="2575" width="9.28571428571429" style="199" customWidth="1"/>
    <col min="2576" max="2816" width="9.14285714285714" style="199"/>
    <col min="2817" max="2817" width="15.2857142857143" style="199" customWidth="1"/>
    <col min="2818" max="2818" width="11.1428571428571" style="199" customWidth="1"/>
    <col min="2819" max="2819" width="13.2857142857143" style="199" customWidth="1"/>
    <col min="2820" max="2820" width="10.1428571428571" style="199" customWidth="1"/>
    <col min="2821" max="2821" width="12.4285714285714" style="199" customWidth="1"/>
    <col min="2822" max="2822" width="11.2857142857143" style="199" customWidth="1"/>
    <col min="2823" max="2823" width="9.85714285714286" style="199" customWidth="1"/>
    <col min="2824" max="2824" width="13.4285714285714" style="199" customWidth="1"/>
    <col min="2825" max="2825" width="14.5714285714286" style="199" customWidth="1"/>
    <col min="2826" max="2826" width="11.5714285714286" style="199" customWidth="1"/>
    <col min="2827" max="2827" width="11.1428571428571" style="199" customWidth="1"/>
    <col min="2828" max="2828" width="7.42857142857143" style="199" customWidth="1"/>
    <col min="2829" max="2829" width="6.57142857142857" style="199" customWidth="1"/>
    <col min="2830" max="2831" width="9.28571428571429" style="199" customWidth="1"/>
    <col min="2832" max="3072" width="9.14285714285714" style="199"/>
    <col min="3073" max="3073" width="15.2857142857143" style="199" customWidth="1"/>
    <col min="3074" max="3074" width="11.1428571428571" style="199" customWidth="1"/>
    <col min="3075" max="3075" width="13.2857142857143" style="199" customWidth="1"/>
    <col min="3076" max="3076" width="10.1428571428571" style="199" customWidth="1"/>
    <col min="3077" max="3077" width="12.4285714285714" style="199" customWidth="1"/>
    <col min="3078" max="3078" width="11.2857142857143" style="199" customWidth="1"/>
    <col min="3079" max="3079" width="9.85714285714286" style="199" customWidth="1"/>
    <col min="3080" max="3080" width="13.4285714285714" style="199" customWidth="1"/>
    <col min="3081" max="3081" width="14.5714285714286" style="199" customWidth="1"/>
    <col min="3082" max="3082" width="11.5714285714286" style="199" customWidth="1"/>
    <col min="3083" max="3083" width="11.1428571428571" style="199" customWidth="1"/>
    <col min="3084" max="3084" width="7.42857142857143" style="199" customWidth="1"/>
    <col min="3085" max="3085" width="6.57142857142857" style="199" customWidth="1"/>
    <col min="3086" max="3087" width="9.28571428571429" style="199" customWidth="1"/>
    <col min="3088" max="3328" width="9.14285714285714" style="199"/>
    <col min="3329" max="3329" width="15.2857142857143" style="199" customWidth="1"/>
    <col min="3330" max="3330" width="11.1428571428571" style="199" customWidth="1"/>
    <col min="3331" max="3331" width="13.2857142857143" style="199" customWidth="1"/>
    <col min="3332" max="3332" width="10.1428571428571" style="199" customWidth="1"/>
    <col min="3333" max="3333" width="12.4285714285714" style="199" customWidth="1"/>
    <col min="3334" max="3334" width="11.2857142857143" style="199" customWidth="1"/>
    <col min="3335" max="3335" width="9.85714285714286" style="199" customWidth="1"/>
    <col min="3336" max="3336" width="13.4285714285714" style="199" customWidth="1"/>
    <col min="3337" max="3337" width="14.5714285714286" style="199" customWidth="1"/>
    <col min="3338" max="3338" width="11.5714285714286" style="199" customWidth="1"/>
    <col min="3339" max="3339" width="11.1428571428571" style="199" customWidth="1"/>
    <col min="3340" max="3340" width="7.42857142857143" style="199" customWidth="1"/>
    <col min="3341" max="3341" width="6.57142857142857" style="199" customWidth="1"/>
    <col min="3342" max="3343" width="9.28571428571429" style="199" customWidth="1"/>
    <col min="3344" max="3584" width="9.14285714285714" style="199"/>
    <col min="3585" max="3585" width="15.2857142857143" style="199" customWidth="1"/>
    <col min="3586" max="3586" width="11.1428571428571" style="199" customWidth="1"/>
    <col min="3587" max="3587" width="13.2857142857143" style="199" customWidth="1"/>
    <col min="3588" max="3588" width="10.1428571428571" style="199" customWidth="1"/>
    <col min="3589" max="3589" width="12.4285714285714" style="199" customWidth="1"/>
    <col min="3590" max="3590" width="11.2857142857143" style="199" customWidth="1"/>
    <col min="3591" max="3591" width="9.85714285714286" style="199" customWidth="1"/>
    <col min="3592" max="3592" width="13.4285714285714" style="199" customWidth="1"/>
    <col min="3593" max="3593" width="14.5714285714286" style="199" customWidth="1"/>
    <col min="3594" max="3594" width="11.5714285714286" style="199" customWidth="1"/>
    <col min="3595" max="3595" width="11.1428571428571" style="199" customWidth="1"/>
    <col min="3596" max="3596" width="7.42857142857143" style="199" customWidth="1"/>
    <col min="3597" max="3597" width="6.57142857142857" style="199" customWidth="1"/>
    <col min="3598" max="3599" width="9.28571428571429" style="199" customWidth="1"/>
    <col min="3600" max="3840" width="9.14285714285714" style="199"/>
    <col min="3841" max="3841" width="15.2857142857143" style="199" customWidth="1"/>
    <col min="3842" max="3842" width="11.1428571428571" style="199" customWidth="1"/>
    <col min="3843" max="3843" width="13.2857142857143" style="199" customWidth="1"/>
    <col min="3844" max="3844" width="10.1428571428571" style="199" customWidth="1"/>
    <col min="3845" max="3845" width="12.4285714285714" style="199" customWidth="1"/>
    <col min="3846" max="3846" width="11.2857142857143" style="199" customWidth="1"/>
    <col min="3847" max="3847" width="9.85714285714286" style="199" customWidth="1"/>
    <col min="3848" max="3848" width="13.4285714285714" style="199" customWidth="1"/>
    <col min="3849" max="3849" width="14.5714285714286" style="199" customWidth="1"/>
    <col min="3850" max="3850" width="11.5714285714286" style="199" customWidth="1"/>
    <col min="3851" max="3851" width="11.1428571428571" style="199" customWidth="1"/>
    <col min="3852" max="3852" width="7.42857142857143" style="199" customWidth="1"/>
    <col min="3853" max="3853" width="6.57142857142857" style="199" customWidth="1"/>
    <col min="3854" max="3855" width="9.28571428571429" style="199" customWidth="1"/>
    <col min="3856" max="4096" width="9.14285714285714" style="199"/>
    <col min="4097" max="4097" width="15.2857142857143" style="199" customWidth="1"/>
    <col min="4098" max="4098" width="11.1428571428571" style="199" customWidth="1"/>
    <col min="4099" max="4099" width="13.2857142857143" style="199" customWidth="1"/>
    <col min="4100" max="4100" width="10.1428571428571" style="199" customWidth="1"/>
    <col min="4101" max="4101" width="12.4285714285714" style="199" customWidth="1"/>
    <col min="4102" max="4102" width="11.2857142857143" style="199" customWidth="1"/>
    <col min="4103" max="4103" width="9.85714285714286" style="199" customWidth="1"/>
    <col min="4104" max="4104" width="13.4285714285714" style="199" customWidth="1"/>
    <col min="4105" max="4105" width="14.5714285714286" style="199" customWidth="1"/>
    <col min="4106" max="4106" width="11.5714285714286" style="199" customWidth="1"/>
    <col min="4107" max="4107" width="11.1428571428571" style="199" customWidth="1"/>
    <col min="4108" max="4108" width="7.42857142857143" style="199" customWidth="1"/>
    <col min="4109" max="4109" width="6.57142857142857" style="199" customWidth="1"/>
    <col min="4110" max="4111" width="9.28571428571429" style="199" customWidth="1"/>
    <col min="4112" max="4352" width="9.14285714285714" style="199"/>
    <col min="4353" max="4353" width="15.2857142857143" style="199" customWidth="1"/>
    <col min="4354" max="4354" width="11.1428571428571" style="199" customWidth="1"/>
    <col min="4355" max="4355" width="13.2857142857143" style="199" customWidth="1"/>
    <col min="4356" max="4356" width="10.1428571428571" style="199" customWidth="1"/>
    <col min="4357" max="4357" width="12.4285714285714" style="199" customWidth="1"/>
    <col min="4358" max="4358" width="11.2857142857143" style="199" customWidth="1"/>
    <col min="4359" max="4359" width="9.85714285714286" style="199" customWidth="1"/>
    <col min="4360" max="4360" width="13.4285714285714" style="199" customWidth="1"/>
    <col min="4361" max="4361" width="14.5714285714286" style="199" customWidth="1"/>
    <col min="4362" max="4362" width="11.5714285714286" style="199" customWidth="1"/>
    <col min="4363" max="4363" width="11.1428571428571" style="199" customWidth="1"/>
    <col min="4364" max="4364" width="7.42857142857143" style="199" customWidth="1"/>
    <col min="4365" max="4365" width="6.57142857142857" style="199" customWidth="1"/>
    <col min="4366" max="4367" width="9.28571428571429" style="199" customWidth="1"/>
    <col min="4368" max="4608" width="9.14285714285714" style="199"/>
    <col min="4609" max="4609" width="15.2857142857143" style="199" customWidth="1"/>
    <col min="4610" max="4610" width="11.1428571428571" style="199" customWidth="1"/>
    <col min="4611" max="4611" width="13.2857142857143" style="199" customWidth="1"/>
    <col min="4612" max="4612" width="10.1428571428571" style="199" customWidth="1"/>
    <col min="4613" max="4613" width="12.4285714285714" style="199" customWidth="1"/>
    <col min="4614" max="4614" width="11.2857142857143" style="199" customWidth="1"/>
    <col min="4615" max="4615" width="9.85714285714286" style="199" customWidth="1"/>
    <col min="4616" max="4616" width="13.4285714285714" style="199" customWidth="1"/>
    <col min="4617" max="4617" width="14.5714285714286" style="199" customWidth="1"/>
    <col min="4618" max="4618" width="11.5714285714286" style="199" customWidth="1"/>
    <col min="4619" max="4619" width="11.1428571428571" style="199" customWidth="1"/>
    <col min="4620" max="4620" width="7.42857142857143" style="199" customWidth="1"/>
    <col min="4621" max="4621" width="6.57142857142857" style="199" customWidth="1"/>
    <col min="4622" max="4623" width="9.28571428571429" style="199" customWidth="1"/>
    <col min="4624" max="4864" width="9.14285714285714" style="199"/>
    <col min="4865" max="4865" width="15.2857142857143" style="199" customWidth="1"/>
    <col min="4866" max="4866" width="11.1428571428571" style="199" customWidth="1"/>
    <col min="4867" max="4867" width="13.2857142857143" style="199" customWidth="1"/>
    <col min="4868" max="4868" width="10.1428571428571" style="199" customWidth="1"/>
    <col min="4869" max="4869" width="12.4285714285714" style="199" customWidth="1"/>
    <col min="4870" max="4870" width="11.2857142857143" style="199" customWidth="1"/>
    <col min="4871" max="4871" width="9.85714285714286" style="199" customWidth="1"/>
    <col min="4872" max="4872" width="13.4285714285714" style="199" customWidth="1"/>
    <col min="4873" max="4873" width="14.5714285714286" style="199" customWidth="1"/>
    <col min="4874" max="4874" width="11.5714285714286" style="199" customWidth="1"/>
    <col min="4875" max="4875" width="11.1428571428571" style="199" customWidth="1"/>
    <col min="4876" max="4876" width="7.42857142857143" style="199" customWidth="1"/>
    <col min="4877" max="4877" width="6.57142857142857" style="199" customWidth="1"/>
    <col min="4878" max="4879" width="9.28571428571429" style="199" customWidth="1"/>
    <col min="4880" max="5120" width="9.14285714285714" style="199"/>
    <col min="5121" max="5121" width="15.2857142857143" style="199" customWidth="1"/>
    <col min="5122" max="5122" width="11.1428571428571" style="199" customWidth="1"/>
    <col min="5123" max="5123" width="13.2857142857143" style="199" customWidth="1"/>
    <col min="5124" max="5124" width="10.1428571428571" style="199" customWidth="1"/>
    <col min="5125" max="5125" width="12.4285714285714" style="199" customWidth="1"/>
    <col min="5126" max="5126" width="11.2857142857143" style="199" customWidth="1"/>
    <col min="5127" max="5127" width="9.85714285714286" style="199" customWidth="1"/>
    <col min="5128" max="5128" width="13.4285714285714" style="199" customWidth="1"/>
    <col min="5129" max="5129" width="14.5714285714286" style="199" customWidth="1"/>
    <col min="5130" max="5130" width="11.5714285714286" style="199" customWidth="1"/>
    <col min="5131" max="5131" width="11.1428571428571" style="199" customWidth="1"/>
    <col min="5132" max="5132" width="7.42857142857143" style="199" customWidth="1"/>
    <col min="5133" max="5133" width="6.57142857142857" style="199" customWidth="1"/>
    <col min="5134" max="5135" width="9.28571428571429" style="199" customWidth="1"/>
    <col min="5136" max="5376" width="9.14285714285714" style="199"/>
    <col min="5377" max="5377" width="15.2857142857143" style="199" customWidth="1"/>
    <col min="5378" max="5378" width="11.1428571428571" style="199" customWidth="1"/>
    <col min="5379" max="5379" width="13.2857142857143" style="199" customWidth="1"/>
    <col min="5380" max="5380" width="10.1428571428571" style="199" customWidth="1"/>
    <col min="5381" max="5381" width="12.4285714285714" style="199" customWidth="1"/>
    <col min="5382" max="5382" width="11.2857142857143" style="199" customWidth="1"/>
    <col min="5383" max="5383" width="9.85714285714286" style="199" customWidth="1"/>
    <col min="5384" max="5384" width="13.4285714285714" style="199" customWidth="1"/>
    <col min="5385" max="5385" width="14.5714285714286" style="199" customWidth="1"/>
    <col min="5386" max="5386" width="11.5714285714286" style="199" customWidth="1"/>
    <col min="5387" max="5387" width="11.1428571428571" style="199" customWidth="1"/>
    <col min="5388" max="5388" width="7.42857142857143" style="199" customWidth="1"/>
    <col min="5389" max="5389" width="6.57142857142857" style="199" customWidth="1"/>
    <col min="5390" max="5391" width="9.28571428571429" style="199" customWidth="1"/>
    <col min="5392" max="5632" width="9.14285714285714" style="199"/>
    <col min="5633" max="5633" width="15.2857142857143" style="199" customWidth="1"/>
    <col min="5634" max="5634" width="11.1428571428571" style="199" customWidth="1"/>
    <col min="5635" max="5635" width="13.2857142857143" style="199" customWidth="1"/>
    <col min="5636" max="5636" width="10.1428571428571" style="199" customWidth="1"/>
    <col min="5637" max="5637" width="12.4285714285714" style="199" customWidth="1"/>
    <col min="5638" max="5638" width="11.2857142857143" style="199" customWidth="1"/>
    <col min="5639" max="5639" width="9.85714285714286" style="199" customWidth="1"/>
    <col min="5640" max="5640" width="13.4285714285714" style="199" customWidth="1"/>
    <col min="5641" max="5641" width="14.5714285714286" style="199" customWidth="1"/>
    <col min="5642" max="5642" width="11.5714285714286" style="199" customWidth="1"/>
    <col min="5643" max="5643" width="11.1428571428571" style="199" customWidth="1"/>
    <col min="5644" max="5644" width="7.42857142857143" style="199" customWidth="1"/>
    <col min="5645" max="5645" width="6.57142857142857" style="199" customWidth="1"/>
    <col min="5646" max="5647" width="9.28571428571429" style="199" customWidth="1"/>
    <col min="5648" max="5888" width="9.14285714285714" style="199"/>
    <col min="5889" max="5889" width="15.2857142857143" style="199" customWidth="1"/>
    <col min="5890" max="5890" width="11.1428571428571" style="199" customWidth="1"/>
    <col min="5891" max="5891" width="13.2857142857143" style="199" customWidth="1"/>
    <col min="5892" max="5892" width="10.1428571428571" style="199" customWidth="1"/>
    <col min="5893" max="5893" width="12.4285714285714" style="199" customWidth="1"/>
    <col min="5894" max="5894" width="11.2857142857143" style="199" customWidth="1"/>
    <col min="5895" max="5895" width="9.85714285714286" style="199" customWidth="1"/>
    <col min="5896" max="5896" width="13.4285714285714" style="199" customWidth="1"/>
    <col min="5897" max="5897" width="14.5714285714286" style="199" customWidth="1"/>
    <col min="5898" max="5898" width="11.5714285714286" style="199" customWidth="1"/>
    <col min="5899" max="5899" width="11.1428571428571" style="199" customWidth="1"/>
    <col min="5900" max="5900" width="7.42857142857143" style="199" customWidth="1"/>
    <col min="5901" max="5901" width="6.57142857142857" style="199" customWidth="1"/>
    <col min="5902" max="5903" width="9.28571428571429" style="199" customWidth="1"/>
    <col min="5904" max="6144" width="9.14285714285714" style="199"/>
    <col min="6145" max="6145" width="15.2857142857143" style="199" customWidth="1"/>
    <col min="6146" max="6146" width="11.1428571428571" style="199" customWidth="1"/>
    <col min="6147" max="6147" width="13.2857142857143" style="199" customWidth="1"/>
    <col min="6148" max="6148" width="10.1428571428571" style="199" customWidth="1"/>
    <col min="6149" max="6149" width="12.4285714285714" style="199" customWidth="1"/>
    <col min="6150" max="6150" width="11.2857142857143" style="199" customWidth="1"/>
    <col min="6151" max="6151" width="9.85714285714286" style="199" customWidth="1"/>
    <col min="6152" max="6152" width="13.4285714285714" style="199" customWidth="1"/>
    <col min="6153" max="6153" width="14.5714285714286" style="199" customWidth="1"/>
    <col min="6154" max="6154" width="11.5714285714286" style="199" customWidth="1"/>
    <col min="6155" max="6155" width="11.1428571428571" style="199" customWidth="1"/>
    <col min="6156" max="6156" width="7.42857142857143" style="199" customWidth="1"/>
    <col min="6157" max="6157" width="6.57142857142857" style="199" customWidth="1"/>
    <col min="6158" max="6159" width="9.28571428571429" style="199" customWidth="1"/>
    <col min="6160" max="6400" width="9.14285714285714" style="199"/>
    <col min="6401" max="6401" width="15.2857142857143" style="199" customWidth="1"/>
    <col min="6402" max="6402" width="11.1428571428571" style="199" customWidth="1"/>
    <col min="6403" max="6403" width="13.2857142857143" style="199" customWidth="1"/>
    <col min="6404" max="6404" width="10.1428571428571" style="199" customWidth="1"/>
    <col min="6405" max="6405" width="12.4285714285714" style="199" customWidth="1"/>
    <col min="6406" max="6406" width="11.2857142857143" style="199" customWidth="1"/>
    <col min="6407" max="6407" width="9.85714285714286" style="199" customWidth="1"/>
    <col min="6408" max="6408" width="13.4285714285714" style="199" customWidth="1"/>
    <col min="6409" max="6409" width="14.5714285714286" style="199" customWidth="1"/>
    <col min="6410" max="6410" width="11.5714285714286" style="199" customWidth="1"/>
    <col min="6411" max="6411" width="11.1428571428571" style="199" customWidth="1"/>
    <col min="6412" max="6412" width="7.42857142857143" style="199" customWidth="1"/>
    <col min="6413" max="6413" width="6.57142857142857" style="199" customWidth="1"/>
    <col min="6414" max="6415" width="9.28571428571429" style="199" customWidth="1"/>
    <col min="6416" max="6656" width="9.14285714285714" style="199"/>
    <col min="6657" max="6657" width="15.2857142857143" style="199" customWidth="1"/>
    <col min="6658" max="6658" width="11.1428571428571" style="199" customWidth="1"/>
    <col min="6659" max="6659" width="13.2857142857143" style="199" customWidth="1"/>
    <col min="6660" max="6660" width="10.1428571428571" style="199" customWidth="1"/>
    <col min="6661" max="6661" width="12.4285714285714" style="199" customWidth="1"/>
    <col min="6662" max="6662" width="11.2857142857143" style="199" customWidth="1"/>
    <col min="6663" max="6663" width="9.85714285714286" style="199" customWidth="1"/>
    <col min="6664" max="6664" width="13.4285714285714" style="199" customWidth="1"/>
    <col min="6665" max="6665" width="14.5714285714286" style="199" customWidth="1"/>
    <col min="6666" max="6666" width="11.5714285714286" style="199" customWidth="1"/>
    <col min="6667" max="6667" width="11.1428571428571" style="199" customWidth="1"/>
    <col min="6668" max="6668" width="7.42857142857143" style="199" customWidth="1"/>
    <col min="6669" max="6669" width="6.57142857142857" style="199" customWidth="1"/>
    <col min="6670" max="6671" width="9.28571428571429" style="199" customWidth="1"/>
    <col min="6672" max="6912" width="9.14285714285714" style="199"/>
    <col min="6913" max="6913" width="15.2857142857143" style="199" customWidth="1"/>
    <col min="6914" max="6914" width="11.1428571428571" style="199" customWidth="1"/>
    <col min="6915" max="6915" width="13.2857142857143" style="199" customWidth="1"/>
    <col min="6916" max="6916" width="10.1428571428571" style="199" customWidth="1"/>
    <col min="6917" max="6917" width="12.4285714285714" style="199" customWidth="1"/>
    <col min="6918" max="6918" width="11.2857142857143" style="199" customWidth="1"/>
    <col min="6919" max="6919" width="9.85714285714286" style="199" customWidth="1"/>
    <col min="6920" max="6920" width="13.4285714285714" style="199" customWidth="1"/>
    <col min="6921" max="6921" width="14.5714285714286" style="199" customWidth="1"/>
    <col min="6922" max="6922" width="11.5714285714286" style="199" customWidth="1"/>
    <col min="6923" max="6923" width="11.1428571428571" style="199" customWidth="1"/>
    <col min="6924" max="6924" width="7.42857142857143" style="199" customWidth="1"/>
    <col min="6925" max="6925" width="6.57142857142857" style="199" customWidth="1"/>
    <col min="6926" max="6927" width="9.28571428571429" style="199" customWidth="1"/>
    <col min="6928" max="7168" width="9.14285714285714" style="199"/>
    <col min="7169" max="7169" width="15.2857142857143" style="199" customWidth="1"/>
    <col min="7170" max="7170" width="11.1428571428571" style="199" customWidth="1"/>
    <col min="7171" max="7171" width="13.2857142857143" style="199" customWidth="1"/>
    <col min="7172" max="7172" width="10.1428571428571" style="199" customWidth="1"/>
    <col min="7173" max="7173" width="12.4285714285714" style="199" customWidth="1"/>
    <col min="7174" max="7174" width="11.2857142857143" style="199" customWidth="1"/>
    <col min="7175" max="7175" width="9.85714285714286" style="199" customWidth="1"/>
    <col min="7176" max="7176" width="13.4285714285714" style="199" customWidth="1"/>
    <col min="7177" max="7177" width="14.5714285714286" style="199" customWidth="1"/>
    <col min="7178" max="7178" width="11.5714285714286" style="199" customWidth="1"/>
    <col min="7179" max="7179" width="11.1428571428571" style="199" customWidth="1"/>
    <col min="7180" max="7180" width="7.42857142857143" style="199" customWidth="1"/>
    <col min="7181" max="7181" width="6.57142857142857" style="199" customWidth="1"/>
    <col min="7182" max="7183" width="9.28571428571429" style="199" customWidth="1"/>
    <col min="7184" max="7424" width="9.14285714285714" style="199"/>
    <col min="7425" max="7425" width="15.2857142857143" style="199" customWidth="1"/>
    <col min="7426" max="7426" width="11.1428571428571" style="199" customWidth="1"/>
    <col min="7427" max="7427" width="13.2857142857143" style="199" customWidth="1"/>
    <col min="7428" max="7428" width="10.1428571428571" style="199" customWidth="1"/>
    <col min="7429" max="7429" width="12.4285714285714" style="199" customWidth="1"/>
    <col min="7430" max="7430" width="11.2857142857143" style="199" customWidth="1"/>
    <col min="7431" max="7431" width="9.85714285714286" style="199" customWidth="1"/>
    <col min="7432" max="7432" width="13.4285714285714" style="199" customWidth="1"/>
    <col min="7433" max="7433" width="14.5714285714286" style="199" customWidth="1"/>
    <col min="7434" max="7434" width="11.5714285714286" style="199" customWidth="1"/>
    <col min="7435" max="7435" width="11.1428571428571" style="199" customWidth="1"/>
    <col min="7436" max="7436" width="7.42857142857143" style="199" customWidth="1"/>
    <col min="7437" max="7437" width="6.57142857142857" style="199" customWidth="1"/>
    <col min="7438" max="7439" width="9.28571428571429" style="199" customWidth="1"/>
    <col min="7440" max="7680" width="9.14285714285714" style="199"/>
    <col min="7681" max="7681" width="15.2857142857143" style="199" customWidth="1"/>
    <col min="7682" max="7682" width="11.1428571428571" style="199" customWidth="1"/>
    <col min="7683" max="7683" width="13.2857142857143" style="199" customWidth="1"/>
    <col min="7684" max="7684" width="10.1428571428571" style="199" customWidth="1"/>
    <col min="7685" max="7685" width="12.4285714285714" style="199" customWidth="1"/>
    <col min="7686" max="7686" width="11.2857142857143" style="199" customWidth="1"/>
    <col min="7687" max="7687" width="9.85714285714286" style="199" customWidth="1"/>
    <col min="7688" max="7688" width="13.4285714285714" style="199" customWidth="1"/>
    <col min="7689" max="7689" width="14.5714285714286" style="199" customWidth="1"/>
    <col min="7690" max="7690" width="11.5714285714286" style="199" customWidth="1"/>
    <col min="7691" max="7691" width="11.1428571428571" style="199" customWidth="1"/>
    <col min="7692" max="7692" width="7.42857142857143" style="199" customWidth="1"/>
    <col min="7693" max="7693" width="6.57142857142857" style="199" customWidth="1"/>
    <col min="7694" max="7695" width="9.28571428571429" style="199" customWidth="1"/>
    <col min="7696" max="7936" width="9.14285714285714" style="199"/>
    <col min="7937" max="7937" width="15.2857142857143" style="199" customWidth="1"/>
    <col min="7938" max="7938" width="11.1428571428571" style="199" customWidth="1"/>
    <col min="7939" max="7939" width="13.2857142857143" style="199" customWidth="1"/>
    <col min="7940" max="7940" width="10.1428571428571" style="199" customWidth="1"/>
    <col min="7941" max="7941" width="12.4285714285714" style="199" customWidth="1"/>
    <col min="7942" max="7942" width="11.2857142857143" style="199" customWidth="1"/>
    <col min="7943" max="7943" width="9.85714285714286" style="199" customWidth="1"/>
    <col min="7944" max="7944" width="13.4285714285714" style="199" customWidth="1"/>
    <col min="7945" max="7945" width="14.5714285714286" style="199" customWidth="1"/>
    <col min="7946" max="7946" width="11.5714285714286" style="199" customWidth="1"/>
    <col min="7947" max="7947" width="11.1428571428571" style="199" customWidth="1"/>
    <col min="7948" max="7948" width="7.42857142857143" style="199" customWidth="1"/>
    <col min="7949" max="7949" width="6.57142857142857" style="199" customWidth="1"/>
    <col min="7950" max="7951" width="9.28571428571429" style="199" customWidth="1"/>
    <col min="7952" max="8192" width="9.14285714285714" style="199"/>
    <col min="8193" max="8193" width="15.2857142857143" style="199" customWidth="1"/>
    <col min="8194" max="8194" width="11.1428571428571" style="199" customWidth="1"/>
    <col min="8195" max="8195" width="13.2857142857143" style="199" customWidth="1"/>
    <col min="8196" max="8196" width="10.1428571428571" style="199" customWidth="1"/>
    <col min="8197" max="8197" width="12.4285714285714" style="199" customWidth="1"/>
    <col min="8198" max="8198" width="11.2857142857143" style="199" customWidth="1"/>
    <col min="8199" max="8199" width="9.85714285714286" style="199" customWidth="1"/>
    <col min="8200" max="8200" width="13.4285714285714" style="199" customWidth="1"/>
    <col min="8201" max="8201" width="14.5714285714286" style="199" customWidth="1"/>
    <col min="8202" max="8202" width="11.5714285714286" style="199" customWidth="1"/>
    <col min="8203" max="8203" width="11.1428571428571" style="199" customWidth="1"/>
    <col min="8204" max="8204" width="7.42857142857143" style="199" customWidth="1"/>
    <col min="8205" max="8205" width="6.57142857142857" style="199" customWidth="1"/>
    <col min="8206" max="8207" width="9.28571428571429" style="199" customWidth="1"/>
    <col min="8208" max="8448" width="9.14285714285714" style="199"/>
    <col min="8449" max="8449" width="15.2857142857143" style="199" customWidth="1"/>
    <col min="8450" max="8450" width="11.1428571428571" style="199" customWidth="1"/>
    <col min="8451" max="8451" width="13.2857142857143" style="199" customWidth="1"/>
    <col min="8452" max="8452" width="10.1428571428571" style="199" customWidth="1"/>
    <col min="8453" max="8453" width="12.4285714285714" style="199" customWidth="1"/>
    <col min="8454" max="8454" width="11.2857142857143" style="199" customWidth="1"/>
    <col min="8455" max="8455" width="9.85714285714286" style="199" customWidth="1"/>
    <col min="8456" max="8456" width="13.4285714285714" style="199" customWidth="1"/>
    <col min="8457" max="8457" width="14.5714285714286" style="199" customWidth="1"/>
    <col min="8458" max="8458" width="11.5714285714286" style="199" customWidth="1"/>
    <col min="8459" max="8459" width="11.1428571428571" style="199" customWidth="1"/>
    <col min="8460" max="8460" width="7.42857142857143" style="199" customWidth="1"/>
    <col min="8461" max="8461" width="6.57142857142857" style="199" customWidth="1"/>
    <col min="8462" max="8463" width="9.28571428571429" style="199" customWidth="1"/>
    <col min="8464" max="8704" width="9.14285714285714" style="199"/>
    <col min="8705" max="8705" width="15.2857142857143" style="199" customWidth="1"/>
    <col min="8706" max="8706" width="11.1428571428571" style="199" customWidth="1"/>
    <col min="8707" max="8707" width="13.2857142857143" style="199" customWidth="1"/>
    <col min="8708" max="8708" width="10.1428571428571" style="199" customWidth="1"/>
    <col min="8709" max="8709" width="12.4285714285714" style="199" customWidth="1"/>
    <col min="8710" max="8710" width="11.2857142857143" style="199" customWidth="1"/>
    <col min="8711" max="8711" width="9.85714285714286" style="199" customWidth="1"/>
    <col min="8712" max="8712" width="13.4285714285714" style="199" customWidth="1"/>
    <col min="8713" max="8713" width="14.5714285714286" style="199" customWidth="1"/>
    <col min="8714" max="8714" width="11.5714285714286" style="199" customWidth="1"/>
    <col min="8715" max="8715" width="11.1428571428571" style="199" customWidth="1"/>
    <col min="8716" max="8716" width="7.42857142857143" style="199" customWidth="1"/>
    <col min="8717" max="8717" width="6.57142857142857" style="199" customWidth="1"/>
    <col min="8718" max="8719" width="9.28571428571429" style="199" customWidth="1"/>
    <col min="8720" max="8960" width="9.14285714285714" style="199"/>
    <col min="8961" max="8961" width="15.2857142857143" style="199" customWidth="1"/>
    <col min="8962" max="8962" width="11.1428571428571" style="199" customWidth="1"/>
    <col min="8963" max="8963" width="13.2857142857143" style="199" customWidth="1"/>
    <col min="8964" max="8964" width="10.1428571428571" style="199" customWidth="1"/>
    <col min="8965" max="8965" width="12.4285714285714" style="199" customWidth="1"/>
    <col min="8966" max="8966" width="11.2857142857143" style="199" customWidth="1"/>
    <col min="8967" max="8967" width="9.85714285714286" style="199" customWidth="1"/>
    <col min="8968" max="8968" width="13.4285714285714" style="199" customWidth="1"/>
    <col min="8969" max="8969" width="14.5714285714286" style="199" customWidth="1"/>
    <col min="8970" max="8970" width="11.5714285714286" style="199" customWidth="1"/>
    <col min="8971" max="8971" width="11.1428571428571" style="199" customWidth="1"/>
    <col min="8972" max="8972" width="7.42857142857143" style="199" customWidth="1"/>
    <col min="8973" max="8973" width="6.57142857142857" style="199" customWidth="1"/>
    <col min="8974" max="8975" width="9.28571428571429" style="199" customWidth="1"/>
    <col min="8976" max="9216" width="9.14285714285714" style="199"/>
    <col min="9217" max="9217" width="15.2857142857143" style="199" customWidth="1"/>
    <col min="9218" max="9218" width="11.1428571428571" style="199" customWidth="1"/>
    <col min="9219" max="9219" width="13.2857142857143" style="199" customWidth="1"/>
    <col min="9220" max="9220" width="10.1428571428571" style="199" customWidth="1"/>
    <col min="9221" max="9221" width="12.4285714285714" style="199" customWidth="1"/>
    <col min="9222" max="9222" width="11.2857142857143" style="199" customWidth="1"/>
    <col min="9223" max="9223" width="9.85714285714286" style="199" customWidth="1"/>
    <col min="9224" max="9224" width="13.4285714285714" style="199" customWidth="1"/>
    <col min="9225" max="9225" width="14.5714285714286" style="199" customWidth="1"/>
    <col min="9226" max="9226" width="11.5714285714286" style="199" customWidth="1"/>
    <col min="9227" max="9227" width="11.1428571428571" style="199" customWidth="1"/>
    <col min="9228" max="9228" width="7.42857142857143" style="199" customWidth="1"/>
    <col min="9229" max="9229" width="6.57142857142857" style="199" customWidth="1"/>
    <col min="9230" max="9231" width="9.28571428571429" style="199" customWidth="1"/>
    <col min="9232" max="9472" width="9.14285714285714" style="199"/>
    <col min="9473" max="9473" width="15.2857142857143" style="199" customWidth="1"/>
    <col min="9474" max="9474" width="11.1428571428571" style="199" customWidth="1"/>
    <col min="9475" max="9475" width="13.2857142857143" style="199" customWidth="1"/>
    <col min="9476" max="9476" width="10.1428571428571" style="199" customWidth="1"/>
    <col min="9477" max="9477" width="12.4285714285714" style="199" customWidth="1"/>
    <col min="9478" max="9478" width="11.2857142857143" style="199" customWidth="1"/>
    <col min="9479" max="9479" width="9.85714285714286" style="199" customWidth="1"/>
    <col min="9480" max="9480" width="13.4285714285714" style="199" customWidth="1"/>
    <col min="9481" max="9481" width="14.5714285714286" style="199" customWidth="1"/>
    <col min="9482" max="9482" width="11.5714285714286" style="199" customWidth="1"/>
    <col min="9483" max="9483" width="11.1428571428571" style="199" customWidth="1"/>
    <col min="9484" max="9484" width="7.42857142857143" style="199" customWidth="1"/>
    <col min="9485" max="9485" width="6.57142857142857" style="199" customWidth="1"/>
    <col min="9486" max="9487" width="9.28571428571429" style="199" customWidth="1"/>
    <col min="9488" max="9728" width="9.14285714285714" style="199"/>
    <col min="9729" max="9729" width="15.2857142857143" style="199" customWidth="1"/>
    <col min="9730" max="9730" width="11.1428571428571" style="199" customWidth="1"/>
    <col min="9731" max="9731" width="13.2857142857143" style="199" customWidth="1"/>
    <col min="9732" max="9732" width="10.1428571428571" style="199" customWidth="1"/>
    <col min="9733" max="9733" width="12.4285714285714" style="199" customWidth="1"/>
    <col min="9734" max="9734" width="11.2857142857143" style="199" customWidth="1"/>
    <col min="9735" max="9735" width="9.85714285714286" style="199" customWidth="1"/>
    <col min="9736" max="9736" width="13.4285714285714" style="199" customWidth="1"/>
    <col min="9737" max="9737" width="14.5714285714286" style="199" customWidth="1"/>
    <col min="9738" max="9738" width="11.5714285714286" style="199" customWidth="1"/>
    <col min="9739" max="9739" width="11.1428571428571" style="199" customWidth="1"/>
    <col min="9740" max="9740" width="7.42857142857143" style="199" customWidth="1"/>
    <col min="9741" max="9741" width="6.57142857142857" style="199" customWidth="1"/>
    <col min="9742" max="9743" width="9.28571428571429" style="199" customWidth="1"/>
    <col min="9744" max="9984" width="9.14285714285714" style="199"/>
    <col min="9985" max="9985" width="15.2857142857143" style="199" customWidth="1"/>
    <col min="9986" max="9986" width="11.1428571428571" style="199" customWidth="1"/>
    <col min="9987" max="9987" width="13.2857142857143" style="199" customWidth="1"/>
    <col min="9988" max="9988" width="10.1428571428571" style="199" customWidth="1"/>
    <col min="9989" max="9989" width="12.4285714285714" style="199" customWidth="1"/>
    <col min="9990" max="9990" width="11.2857142857143" style="199" customWidth="1"/>
    <col min="9991" max="9991" width="9.85714285714286" style="199" customWidth="1"/>
    <col min="9992" max="9992" width="13.4285714285714" style="199" customWidth="1"/>
    <col min="9993" max="9993" width="14.5714285714286" style="199" customWidth="1"/>
    <col min="9994" max="9994" width="11.5714285714286" style="199" customWidth="1"/>
    <col min="9995" max="9995" width="11.1428571428571" style="199" customWidth="1"/>
    <col min="9996" max="9996" width="7.42857142857143" style="199" customWidth="1"/>
    <col min="9997" max="9997" width="6.57142857142857" style="199" customWidth="1"/>
    <col min="9998" max="9999" width="9.28571428571429" style="199" customWidth="1"/>
    <col min="10000" max="10240" width="9.14285714285714" style="199"/>
    <col min="10241" max="10241" width="15.2857142857143" style="199" customWidth="1"/>
    <col min="10242" max="10242" width="11.1428571428571" style="199" customWidth="1"/>
    <col min="10243" max="10243" width="13.2857142857143" style="199" customWidth="1"/>
    <col min="10244" max="10244" width="10.1428571428571" style="199" customWidth="1"/>
    <col min="10245" max="10245" width="12.4285714285714" style="199" customWidth="1"/>
    <col min="10246" max="10246" width="11.2857142857143" style="199" customWidth="1"/>
    <col min="10247" max="10247" width="9.85714285714286" style="199" customWidth="1"/>
    <col min="10248" max="10248" width="13.4285714285714" style="199" customWidth="1"/>
    <col min="10249" max="10249" width="14.5714285714286" style="199" customWidth="1"/>
    <col min="10250" max="10250" width="11.5714285714286" style="199" customWidth="1"/>
    <col min="10251" max="10251" width="11.1428571428571" style="199" customWidth="1"/>
    <col min="10252" max="10252" width="7.42857142857143" style="199" customWidth="1"/>
    <col min="10253" max="10253" width="6.57142857142857" style="199" customWidth="1"/>
    <col min="10254" max="10255" width="9.28571428571429" style="199" customWidth="1"/>
    <col min="10256" max="10496" width="9.14285714285714" style="199"/>
    <col min="10497" max="10497" width="15.2857142857143" style="199" customWidth="1"/>
    <col min="10498" max="10498" width="11.1428571428571" style="199" customWidth="1"/>
    <col min="10499" max="10499" width="13.2857142857143" style="199" customWidth="1"/>
    <col min="10500" max="10500" width="10.1428571428571" style="199" customWidth="1"/>
    <col min="10501" max="10501" width="12.4285714285714" style="199" customWidth="1"/>
    <col min="10502" max="10502" width="11.2857142857143" style="199" customWidth="1"/>
    <col min="10503" max="10503" width="9.85714285714286" style="199" customWidth="1"/>
    <col min="10504" max="10504" width="13.4285714285714" style="199" customWidth="1"/>
    <col min="10505" max="10505" width="14.5714285714286" style="199" customWidth="1"/>
    <col min="10506" max="10506" width="11.5714285714286" style="199" customWidth="1"/>
    <col min="10507" max="10507" width="11.1428571428571" style="199" customWidth="1"/>
    <col min="10508" max="10508" width="7.42857142857143" style="199" customWidth="1"/>
    <col min="10509" max="10509" width="6.57142857142857" style="199" customWidth="1"/>
    <col min="10510" max="10511" width="9.28571428571429" style="199" customWidth="1"/>
    <col min="10512" max="10752" width="9.14285714285714" style="199"/>
    <col min="10753" max="10753" width="15.2857142857143" style="199" customWidth="1"/>
    <col min="10754" max="10754" width="11.1428571428571" style="199" customWidth="1"/>
    <col min="10755" max="10755" width="13.2857142857143" style="199" customWidth="1"/>
    <col min="10756" max="10756" width="10.1428571428571" style="199" customWidth="1"/>
    <col min="10757" max="10757" width="12.4285714285714" style="199" customWidth="1"/>
    <col min="10758" max="10758" width="11.2857142857143" style="199" customWidth="1"/>
    <col min="10759" max="10759" width="9.85714285714286" style="199" customWidth="1"/>
    <col min="10760" max="10760" width="13.4285714285714" style="199" customWidth="1"/>
    <col min="10761" max="10761" width="14.5714285714286" style="199" customWidth="1"/>
    <col min="10762" max="10762" width="11.5714285714286" style="199" customWidth="1"/>
    <col min="10763" max="10763" width="11.1428571428571" style="199" customWidth="1"/>
    <col min="10764" max="10764" width="7.42857142857143" style="199" customWidth="1"/>
    <col min="10765" max="10765" width="6.57142857142857" style="199" customWidth="1"/>
    <col min="10766" max="10767" width="9.28571428571429" style="199" customWidth="1"/>
    <col min="10768" max="11008" width="9.14285714285714" style="199"/>
    <col min="11009" max="11009" width="15.2857142857143" style="199" customWidth="1"/>
    <col min="11010" max="11010" width="11.1428571428571" style="199" customWidth="1"/>
    <col min="11011" max="11011" width="13.2857142857143" style="199" customWidth="1"/>
    <col min="11012" max="11012" width="10.1428571428571" style="199" customWidth="1"/>
    <col min="11013" max="11013" width="12.4285714285714" style="199" customWidth="1"/>
    <col min="11014" max="11014" width="11.2857142857143" style="199" customWidth="1"/>
    <col min="11015" max="11015" width="9.85714285714286" style="199" customWidth="1"/>
    <col min="11016" max="11016" width="13.4285714285714" style="199" customWidth="1"/>
    <col min="11017" max="11017" width="14.5714285714286" style="199" customWidth="1"/>
    <col min="11018" max="11018" width="11.5714285714286" style="199" customWidth="1"/>
    <col min="11019" max="11019" width="11.1428571428571" style="199" customWidth="1"/>
    <col min="11020" max="11020" width="7.42857142857143" style="199" customWidth="1"/>
    <col min="11021" max="11021" width="6.57142857142857" style="199" customWidth="1"/>
    <col min="11022" max="11023" width="9.28571428571429" style="199" customWidth="1"/>
    <col min="11024" max="11264" width="9.14285714285714" style="199"/>
    <col min="11265" max="11265" width="15.2857142857143" style="199" customWidth="1"/>
    <col min="11266" max="11266" width="11.1428571428571" style="199" customWidth="1"/>
    <col min="11267" max="11267" width="13.2857142857143" style="199" customWidth="1"/>
    <col min="11268" max="11268" width="10.1428571428571" style="199" customWidth="1"/>
    <col min="11269" max="11269" width="12.4285714285714" style="199" customWidth="1"/>
    <col min="11270" max="11270" width="11.2857142857143" style="199" customWidth="1"/>
    <col min="11271" max="11271" width="9.85714285714286" style="199" customWidth="1"/>
    <col min="11272" max="11272" width="13.4285714285714" style="199" customWidth="1"/>
    <col min="11273" max="11273" width="14.5714285714286" style="199" customWidth="1"/>
    <col min="11274" max="11274" width="11.5714285714286" style="199" customWidth="1"/>
    <col min="11275" max="11275" width="11.1428571428571" style="199" customWidth="1"/>
    <col min="11276" max="11276" width="7.42857142857143" style="199" customWidth="1"/>
    <col min="11277" max="11277" width="6.57142857142857" style="199" customWidth="1"/>
    <col min="11278" max="11279" width="9.28571428571429" style="199" customWidth="1"/>
    <col min="11280" max="11520" width="9.14285714285714" style="199"/>
    <col min="11521" max="11521" width="15.2857142857143" style="199" customWidth="1"/>
    <col min="11522" max="11522" width="11.1428571428571" style="199" customWidth="1"/>
    <col min="11523" max="11523" width="13.2857142857143" style="199" customWidth="1"/>
    <col min="11524" max="11524" width="10.1428571428571" style="199" customWidth="1"/>
    <col min="11525" max="11525" width="12.4285714285714" style="199" customWidth="1"/>
    <col min="11526" max="11526" width="11.2857142857143" style="199" customWidth="1"/>
    <col min="11527" max="11527" width="9.85714285714286" style="199" customWidth="1"/>
    <col min="11528" max="11528" width="13.4285714285714" style="199" customWidth="1"/>
    <col min="11529" max="11529" width="14.5714285714286" style="199" customWidth="1"/>
    <col min="11530" max="11530" width="11.5714285714286" style="199" customWidth="1"/>
    <col min="11531" max="11531" width="11.1428571428571" style="199" customWidth="1"/>
    <col min="11532" max="11532" width="7.42857142857143" style="199" customWidth="1"/>
    <col min="11533" max="11533" width="6.57142857142857" style="199" customWidth="1"/>
    <col min="11534" max="11535" width="9.28571428571429" style="199" customWidth="1"/>
    <col min="11536" max="11776" width="9.14285714285714" style="199"/>
    <col min="11777" max="11777" width="15.2857142857143" style="199" customWidth="1"/>
    <col min="11778" max="11778" width="11.1428571428571" style="199" customWidth="1"/>
    <col min="11779" max="11779" width="13.2857142857143" style="199" customWidth="1"/>
    <col min="11780" max="11780" width="10.1428571428571" style="199" customWidth="1"/>
    <col min="11781" max="11781" width="12.4285714285714" style="199" customWidth="1"/>
    <col min="11782" max="11782" width="11.2857142857143" style="199" customWidth="1"/>
    <col min="11783" max="11783" width="9.85714285714286" style="199" customWidth="1"/>
    <col min="11784" max="11784" width="13.4285714285714" style="199" customWidth="1"/>
    <col min="11785" max="11785" width="14.5714285714286" style="199" customWidth="1"/>
    <col min="11786" max="11786" width="11.5714285714286" style="199" customWidth="1"/>
    <col min="11787" max="11787" width="11.1428571428571" style="199" customWidth="1"/>
    <col min="11788" max="11788" width="7.42857142857143" style="199" customWidth="1"/>
    <col min="11789" max="11789" width="6.57142857142857" style="199" customWidth="1"/>
    <col min="11790" max="11791" width="9.28571428571429" style="199" customWidth="1"/>
    <col min="11792" max="12032" width="9.14285714285714" style="199"/>
    <col min="12033" max="12033" width="15.2857142857143" style="199" customWidth="1"/>
    <col min="12034" max="12034" width="11.1428571428571" style="199" customWidth="1"/>
    <col min="12035" max="12035" width="13.2857142857143" style="199" customWidth="1"/>
    <col min="12036" max="12036" width="10.1428571428571" style="199" customWidth="1"/>
    <col min="12037" max="12037" width="12.4285714285714" style="199" customWidth="1"/>
    <col min="12038" max="12038" width="11.2857142857143" style="199" customWidth="1"/>
    <col min="12039" max="12039" width="9.85714285714286" style="199" customWidth="1"/>
    <col min="12040" max="12040" width="13.4285714285714" style="199" customWidth="1"/>
    <col min="12041" max="12041" width="14.5714285714286" style="199" customWidth="1"/>
    <col min="12042" max="12042" width="11.5714285714286" style="199" customWidth="1"/>
    <col min="12043" max="12043" width="11.1428571428571" style="199" customWidth="1"/>
    <col min="12044" max="12044" width="7.42857142857143" style="199" customWidth="1"/>
    <col min="12045" max="12045" width="6.57142857142857" style="199" customWidth="1"/>
    <col min="12046" max="12047" width="9.28571428571429" style="199" customWidth="1"/>
    <col min="12048" max="12288" width="9.14285714285714" style="199"/>
    <col min="12289" max="12289" width="15.2857142857143" style="199" customWidth="1"/>
    <col min="12290" max="12290" width="11.1428571428571" style="199" customWidth="1"/>
    <col min="12291" max="12291" width="13.2857142857143" style="199" customWidth="1"/>
    <col min="12292" max="12292" width="10.1428571428571" style="199" customWidth="1"/>
    <col min="12293" max="12293" width="12.4285714285714" style="199" customWidth="1"/>
    <col min="12294" max="12294" width="11.2857142857143" style="199" customWidth="1"/>
    <col min="12295" max="12295" width="9.85714285714286" style="199" customWidth="1"/>
    <col min="12296" max="12296" width="13.4285714285714" style="199" customWidth="1"/>
    <col min="12297" max="12297" width="14.5714285714286" style="199" customWidth="1"/>
    <col min="12298" max="12298" width="11.5714285714286" style="199" customWidth="1"/>
    <col min="12299" max="12299" width="11.1428571428571" style="199" customWidth="1"/>
    <col min="12300" max="12300" width="7.42857142857143" style="199" customWidth="1"/>
    <col min="12301" max="12301" width="6.57142857142857" style="199" customWidth="1"/>
    <col min="12302" max="12303" width="9.28571428571429" style="199" customWidth="1"/>
    <col min="12304" max="12544" width="9.14285714285714" style="199"/>
    <col min="12545" max="12545" width="15.2857142857143" style="199" customWidth="1"/>
    <col min="12546" max="12546" width="11.1428571428571" style="199" customWidth="1"/>
    <col min="12547" max="12547" width="13.2857142857143" style="199" customWidth="1"/>
    <col min="12548" max="12548" width="10.1428571428571" style="199" customWidth="1"/>
    <col min="12549" max="12549" width="12.4285714285714" style="199" customWidth="1"/>
    <col min="12550" max="12550" width="11.2857142857143" style="199" customWidth="1"/>
    <col min="12551" max="12551" width="9.85714285714286" style="199" customWidth="1"/>
    <col min="12552" max="12552" width="13.4285714285714" style="199" customWidth="1"/>
    <col min="12553" max="12553" width="14.5714285714286" style="199" customWidth="1"/>
    <col min="12554" max="12554" width="11.5714285714286" style="199" customWidth="1"/>
    <col min="12555" max="12555" width="11.1428571428571" style="199" customWidth="1"/>
    <col min="12556" max="12556" width="7.42857142857143" style="199" customWidth="1"/>
    <col min="12557" max="12557" width="6.57142857142857" style="199" customWidth="1"/>
    <col min="12558" max="12559" width="9.28571428571429" style="199" customWidth="1"/>
    <col min="12560" max="12800" width="9.14285714285714" style="199"/>
    <col min="12801" max="12801" width="15.2857142857143" style="199" customWidth="1"/>
    <col min="12802" max="12802" width="11.1428571428571" style="199" customWidth="1"/>
    <col min="12803" max="12803" width="13.2857142857143" style="199" customWidth="1"/>
    <col min="12804" max="12804" width="10.1428571428571" style="199" customWidth="1"/>
    <col min="12805" max="12805" width="12.4285714285714" style="199" customWidth="1"/>
    <col min="12806" max="12806" width="11.2857142857143" style="199" customWidth="1"/>
    <col min="12807" max="12807" width="9.85714285714286" style="199" customWidth="1"/>
    <col min="12808" max="12808" width="13.4285714285714" style="199" customWidth="1"/>
    <col min="12809" max="12809" width="14.5714285714286" style="199" customWidth="1"/>
    <col min="12810" max="12810" width="11.5714285714286" style="199" customWidth="1"/>
    <col min="12811" max="12811" width="11.1428571428571" style="199" customWidth="1"/>
    <col min="12812" max="12812" width="7.42857142857143" style="199" customWidth="1"/>
    <col min="12813" max="12813" width="6.57142857142857" style="199" customWidth="1"/>
    <col min="12814" max="12815" width="9.28571428571429" style="199" customWidth="1"/>
    <col min="12816" max="13056" width="9.14285714285714" style="199"/>
    <col min="13057" max="13057" width="15.2857142857143" style="199" customWidth="1"/>
    <col min="13058" max="13058" width="11.1428571428571" style="199" customWidth="1"/>
    <col min="13059" max="13059" width="13.2857142857143" style="199" customWidth="1"/>
    <col min="13060" max="13060" width="10.1428571428571" style="199" customWidth="1"/>
    <col min="13061" max="13061" width="12.4285714285714" style="199" customWidth="1"/>
    <col min="13062" max="13062" width="11.2857142857143" style="199" customWidth="1"/>
    <col min="13063" max="13063" width="9.85714285714286" style="199" customWidth="1"/>
    <col min="13064" max="13064" width="13.4285714285714" style="199" customWidth="1"/>
    <col min="13065" max="13065" width="14.5714285714286" style="199" customWidth="1"/>
    <col min="13066" max="13066" width="11.5714285714286" style="199" customWidth="1"/>
    <col min="13067" max="13067" width="11.1428571428571" style="199" customWidth="1"/>
    <col min="13068" max="13068" width="7.42857142857143" style="199" customWidth="1"/>
    <col min="13069" max="13069" width="6.57142857142857" style="199" customWidth="1"/>
    <col min="13070" max="13071" width="9.28571428571429" style="199" customWidth="1"/>
    <col min="13072" max="13312" width="9.14285714285714" style="199"/>
    <col min="13313" max="13313" width="15.2857142857143" style="199" customWidth="1"/>
    <col min="13314" max="13314" width="11.1428571428571" style="199" customWidth="1"/>
    <col min="13315" max="13315" width="13.2857142857143" style="199" customWidth="1"/>
    <col min="13316" max="13316" width="10.1428571428571" style="199" customWidth="1"/>
    <col min="13317" max="13317" width="12.4285714285714" style="199" customWidth="1"/>
    <col min="13318" max="13318" width="11.2857142857143" style="199" customWidth="1"/>
    <col min="13319" max="13319" width="9.85714285714286" style="199" customWidth="1"/>
    <col min="13320" max="13320" width="13.4285714285714" style="199" customWidth="1"/>
    <col min="13321" max="13321" width="14.5714285714286" style="199" customWidth="1"/>
    <col min="13322" max="13322" width="11.5714285714286" style="199" customWidth="1"/>
    <col min="13323" max="13323" width="11.1428571428571" style="199" customWidth="1"/>
    <col min="13324" max="13324" width="7.42857142857143" style="199" customWidth="1"/>
    <col min="13325" max="13325" width="6.57142857142857" style="199" customWidth="1"/>
    <col min="13326" max="13327" width="9.28571428571429" style="199" customWidth="1"/>
    <col min="13328" max="13568" width="9.14285714285714" style="199"/>
    <col min="13569" max="13569" width="15.2857142857143" style="199" customWidth="1"/>
    <col min="13570" max="13570" width="11.1428571428571" style="199" customWidth="1"/>
    <col min="13571" max="13571" width="13.2857142857143" style="199" customWidth="1"/>
    <col min="13572" max="13572" width="10.1428571428571" style="199" customWidth="1"/>
    <col min="13573" max="13573" width="12.4285714285714" style="199" customWidth="1"/>
    <col min="13574" max="13574" width="11.2857142857143" style="199" customWidth="1"/>
    <col min="13575" max="13575" width="9.85714285714286" style="199" customWidth="1"/>
    <col min="13576" max="13576" width="13.4285714285714" style="199" customWidth="1"/>
    <col min="13577" max="13577" width="14.5714285714286" style="199" customWidth="1"/>
    <col min="13578" max="13578" width="11.5714285714286" style="199" customWidth="1"/>
    <col min="13579" max="13579" width="11.1428571428571" style="199" customWidth="1"/>
    <col min="13580" max="13580" width="7.42857142857143" style="199" customWidth="1"/>
    <col min="13581" max="13581" width="6.57142857142857" style="199" customWidth="1"/>
    <col min="13582" max="13583" width="9.28571428571429" style="199" customWidth="1"/>
    <col min="13584" max="13824" width="9.14285714285714" style="199"/>
    <col min="13825" max="13825" width="15.2857142857143" style="199" customWidth="1"/>
    <col min="13826" max="13826" width="11.1428571428571" style="199" customWidth="1"/>
    <col min="13827" max="13827" width="13.2857142857143" style="199" customWidth="1"/>
    <col min="13828" max="13828" width="10.1428571428571" style="199" customWidth="1"/>
    <col min="13829" max="13829" width="12.4285714285714" style="199" customWidth="1"/>
    <col min="13830" max="13830" width="11.2857142857143" style="199" customWidth="1"/>
    <col min="13831" max="13831" width="9.85714285714286" style="199" customWidth="1"/>
    <col min="13832" max="13832" width="13.4285714285714" style="199" customWidth="1"/>
    <col min="13833" max="13833" width="14.5714285714286" style="199" customWidth="1"/>
    <col min="13834" max="13834" width="11.5714285714286" style="199" customWidth="1"/>
    <col min="13835" max="13835" width="11.1428571428571" style="199" customWidth="1"/>
    <col min="13836" max="13836" width="7.42857142857143" style="199" customWidth="1"/>
    <col min="13837" max="13837" width="6.57142857142857" style="199" customWidth="1"/>
    <col min="13838" max="13839" width="9.28571428571429" style="199" customWidth="1"/>
    <col min="13840" max="14080" width="9.14285714285714" style="199"/>
    <col min="14081" max="14081" width="15.2857142857143" style="199" customWidth="1"/>
    <col min="14082" max="14082" width="11.1428571428571" style="199" customWidth="1"/>
    <col min="14083" max="14083" width="13.2857142857143" style="199" customWidth="1"/>
    <col min="14084" max="14084" width="10.1428571428571" style="199" customWidth="1"/>
    <col min="14085" max="14085" width="12.4285714285714" style="199" customWidth="1"/>
    <col min="14086" max="14086" width="11.2857142857143" style="199" customWidth="1"/>
    <col min="14087" max="14087" width="9.85714285714286" style="199" customWidth="1"/>
    <col min="14088" max="14088" width="13.4285714285714" style="199" customWidth="1"/>
    <col min="14089" max="14089" width="14.5714285714286" style="199" customWidth="1"/>
    <col min="14090" max="14090" width="11.5714285714286" style="199" customWidth="1"/>
    <col min="14091" max="14091" width="11.1428571428571" style="199" customWidth="1"/>
    <col min="14092" max="14092" width="7.42857142857143" style="199" customWidth="1"/>
    <col min="14093" max="14093" width="6.57142857142857" style="199" customWidth="1"/>
    <col min="14094" max="14095" width="9.28571428571429" style="199" customWidth="1"/>
    <col min="14096" max="14336" width="9.14285714285714" style="199"/>
    <col min="14337" max="14337" width="15.2857142857143" style="199" customWidth="1"/>
    <col min="14338" max="14338" width="11.1428571428571" style="199" customWidth="1"/>
    <col min="14339" max="14339" width="13.2857142857143" style="199" customWidth="1"/>
    <col min="14340" max="14340" width="10.1428571428571" style="199" customWidth="1"/>
    <col min="14341" max="14341" width="12.4285714285714" style="199" customWidth="1"/>
    <col min="14342" max="14342" width="11.2857142857143" style="199" customWidth="1"/>
    <col min="14343" max="14343" width="9.85714285714286" style="199" customWidth="1"/>
    <col min="14344" max="14344" width="13.4285714285714" style="199" customWidth="1"/>
    <col min="14345" max="14345" width="14.5714285714286" style="199" customWidth="1"/>
    <col min="14346" max="14346" width="11.5714285714286" style="199" customWidth="1"/>
    <col min="14347" max="14347" width="11.1428571428571" style="199" customWidth="1"/>
    <col min="14348" max="14348" width="7.42857142857143" style="199" customWidth="1"/>
    <col min="14349" max="14349" width="6.57142857142857" style="199" customWidth="1"/>
    <col min="14350" max="14351" width="9.28571428571429" style="199" customWidth="1"/>
    <col min="14352" max="14592" width="9.14285714285714" style="199"/>
    <col min="14593" max="14593" width="15.2857142857143" style="199" customWidth="1"/>
    <col min="14594" max="14594" width="11.1428571428571" style="199" customWidth="1"/>
    <col min="14595" max="14595" width="13.2857142857143" style="199" customWidth="1"/>
    <col min="14596" max="14596" width="10.1428571428571" style="199" customWidth="1"/>
    <col min="14597" max="14597" width="12.4285714285714" style="199" customWidth="1"/>
    <col min="14598" max="14598" width="11.2857142857143" style="199" customWidth="1"/>
    <col min="14599" max="14599" width="9.85714285714286" style="199" customWidth="1"/>
    <col min="14600" max="14600" width="13.4285714285714" style="199" customWidth="1"/>
    <col min="14601" max="14601" width="14.5714285714286" style="199" customWidth="1"/>
    <col min="14602" max="14602" width="11.5714285714286" style="199" customWidth="1"/>
    <col min="14603" max="14603" width="11.1428571428571" style="199" customWidth="1"/>
    <col min="14604" max="14604" width="7.42857142857143" style="199" customWidth="1"/>
    <col min="14605" max="14605" width="6.57142857142857" style="199" customWidth="1"/>
    <col min="14606" max="14607" width="9.28571428571429" style="199" customWidth="1"/>
    <col min="14608" max="14848" width="9.14285714285714" style="199"/>
    <col min="14849" max="14849" width="15.2857142857143" style="199" customWidth="1"/>
    <col min="14850" max="14850" width="11.1428571428571" style="199" customWidth="1"/>
    <col min="14851" max="14851" width="13.2857142857143" style="199" customWidth="1"/>
    <col min="14852" max="14852" width="10.1428571428571" style="199" customWidth="1"/>
    <col min="14853" max="14853" width="12.4285714285714" style="199" customWidth="1"/>
    <col min="14854" max="14854" width="11.2857142857143" style="199" customWidth="1"/>
    <col min="14855" max="14855" width="9.85714285714286" style="199" customWidth="1"/>
    <col min="14856" max="14856" width="13.4285714285714" style="199" customWidth="1"/>
    <col min="14857" max="14857" width="14.5714285714286" style="199" customWidth="1"/>
    <col min="14858" max="14858" width="11.5714285714286" style="199" customWidth="1"/>
    <col min="14859" max="14859" width="11.1428571428571" style="199" customWidth="1"/>
    <col min="14860" max="14860" width="7.42857142857143" style="199" customWidth="1"/>
    <col min="14861" max="14861" width="6.57142857142857" style="199" customWidth="1"/>
    <col min="14862" max="14863" width="9.28571428571429" style="199" customWidth="1"/>
    <col min="14864" max="15104" width="9.14285714285714" style="199"/>
    <col min="15105" max="15105" width="15.2857142857143" style="199" customWidth="1"/>
    <col min="15106" max="15106" width="11.1428571428571" style="199" customWidth="1"/>
    <col min="15107" max="15107" width="13.2857142857143" style="199" customWidth="1"/>
    <col min="15108" max="15108" width="10.1428571428571" style="199" customWidth="1"/>
    <col min="15109" max="15109" width="12.4285714285714" style="199" customWidth="1"/>
    <col min="15110" max="15110" width="11.2857142857143" style="199" customWidth="1"/>
    <col min="15111" max="15111" width="9.85714285714286" style="199" customWidth="1"/>
    <col min="15112" max="15112" width="13.4285714285714" style="199" customWidth="1"/>
    <col min="15113" max="15113" width="14.5714285714286" style="199" customWidth="1"/>
    <col min="15114" max="15114" width="11.5714285714286" style="199" customWidth="1"/>
    <col min="15115" max="15115" width="11.1428571428571" style="199" customWidth="1"/>
    <col min="15116" max="15116" width="7.42857142857143" style="199" customWidth="1"/>
    <col min="15117" max="15117" width="6.57142857142857" style="199" customWidth="1"/>
    <col min="15118" max="15119" width="9.28571428571429" style="199" customWidth="1"/>
    <col min="15120" max="15360" width="9.14285714285714" style="199"/>
    <col min="15361" max="15361" width="15.2857142857143" style="199" customWidth="1"/>
    <col min="15362" max="15362" width="11.1428571428571" style="199" customWidth="1"/>
    <col min="15363" max="15363" width="13.2857142857143" style="199" customWidth="1"/>
    <col min="15364" max="15364" width="10.1428571428571" style="199" customWidth="1"/>
    <col min="15365" max="15365" width="12.4285714285714" style="199" customWidth="1"/>
    <col min="15366" max="15366" width="11.2857142857143" style="199" customWidth="1"/>
    <col min="15367" max="15367" width="9.85714285714286" style="199" customWidth="1"/>
    <col min="15368" max="15368" width="13.4285714285714" style="199" customWidth="1"/>
    <col min="15369" max="15369" width="14.5714285714286" style="199" customWidth="1"/>
    <col min="15370" max="15370" width="11.5714285714286" style="199" customWidth="1"/>
    <col min="15371" max="15371" width="11.1428571428571" style="199" customWidth="1"/>
    <col min="15372" max="15372" width="7.42857142857143" style="199" customWidth="1"/>
    <col min="15373" max="15373" width="6.57142857142857" style="199" customWidth="1"/>
    <col min="15374" max="15375" width="9.28571428571429" style="199" customWidth="1"/>
    <col min="15376" max="15616" width="9.14285714285714" style="199"/>
    <col min="15617" max="15617" width="15.2857142857143" style="199" customWidth="1"/>
    <col min="15618" max="15618" width="11.1428571428571" style="199" customWidth="1"/>
    <col min="15619" max="15619" width="13.2857142857143" style="199" customWidth="1"/>
    <col min="15620" max="15620" width="10.1428571428571" style="199" customWidth="1"/>
    <col min="15621" max="15621" width="12.4285714285714" style="199" customWidth="1"/>
    <col min="15622" max="15622" width="11.2857142857143" style="199" customWidth="1"/>
    <col min="15623" max="15623" width="9.85714285714286" style="199" customWidth="1"/>
    <col min="15624" max="15624" width="13.4285714285714" style="199" customWidth="1"/>
    <col min="15625" max="15625" width="14.5714285714286" style="199" customWidth="1"/>
    <col min="15626" max="15626" width="11.5714285714286" style="199" customWidth="1"/>
    <col min="15627" max="15627" width="11.1428571428571" style="199" customWidth="1"/>
    <col min="15628" max="15628" width="7.42857142857143" style="199" customWidth="1"/>
    <col min="15629" max="15629" width="6.57142857142857" style="199" customWidth="1"/>
    <col min="15630" max="15631" width="9.28571428571429" style="199" customWidth="1"/>
    <col min="15632" max="15872" width="9.14285714285714" style="199"/>
    <col min="15873" max="15873" width="15.2857142857143" style="199" customWidth="1"/>
    <col min="15874" max="15874" width="11.1428571428571" style="199" customWidth="1"/>
    <col min="15875" max="15875" width="13.2857142857143" style="199" customWidth="1"/>
    <col min="15876" max="15876" width="10.1428571428571" style="199" customWidth="1"/>
    <col min="15877" max="15877" width="12.4285714285714" style="199" customWidth="1"/>
    <col min="15878" max="15878" width="11.2857142857143" style="199" customWidth="1"/>
    <col min="15879" max="15879" width="9.85714285714286" style="199" customWidth="1"/>
    <col min="15880" max="15880" width="13.4285714285714" style="199" customWidth="1"/>
    <col min="15881" max="15881" width="14.5714285714286" style="199" customWidth="1"/>
    <col min="15882" max="15882" width="11.5714285714286" style="199" customWidth="1"/>
    <col min="15883" max="15883" width="11.1428571428571" style="199" customWidth="1"/>
    <col min="15884" max="15884" width="7.42857142857143" style="199" customWidth="1"/>
    <col min="15885" max="15885" width="6.57142857142857" style="199" customWidth="1"/>
    <col min="15886" max="15887" width="9.28571428571429" style="199" customWidth="1"/>
    <col min="15888" max="16128" width="9.14285714285714" style="199"/>
    <col min="16129" max="16129" width="15.2857142857143" style="199" customWidth="1"/>
    <col min="16130" max="16130" width="11.1428571428571" style="199" customWidth="1"/>
    <col min="16131" max="16131" width="13.2857142857143" style="199" customWidth="1"/>
    <col min="16132" max="16132" width="10.1428571428571" style="199" customWidth="1"/>
    <col min="16133" max="16133" width="12.4285714285714" style="199" customWidth="1"/>
    <col min="16134" max="16134" width="11.2857142857143" style="199" customWidth="1"/>
    <col min="16135" max="16135" width="9.85714285714286" style="199" customWidth="1"/>
    <col min="16136" max="16136" width="13.4285714285714" style="199" customWidth="1"/>
    <col min="16137" max="16137" width="14.5714285714286" style="199" customWidth="1"/>
    <col min="16138" max="16138" width="11.5714285714286" style="199" customWidth="1"/>
    <col min="16139" max="16139" width="11.1428571428571" style="199" customWidth="1"/>
    <col min="16140" max="16140" width="7.42857142857143" style="199" customWidth="1"/>
    <col min="16141" max="16141" width="6.57142857142857" style="199" customWidth="1"/>
    <col min="16142" max="16143" width="9.28571428571429" style="199" customWidth="1"/>
    <col min="16144" max="16384" width="9.14285714285714" style="199"/>
  </cols>
  <sheetData>
    <row r="1" ht="24.2" customHeight="1" spans="1:10">
      <c r="A1" s="200" t="s">
        <v>254</v>
      </c>
      <c r="B1" s="201"/>
      <c r="C1" s="201"/>
      <c r="D1" s="201"/>
      <c r="E1" s="201"/>
      <c r="F1" s="201"/>
      <c r="G1" s="201"/>
      <c r="H1" s="201"/>
      <c r="I1" s="201"/>
      <c r="J1" s="201"/>
    </row>
    <row r="2" ht="68.25" customHeight="1" spans="1:10">
      <c r="A2" s="202" t="s">
        <v>255</v>
      </c>
      <c r="B2" s="202"/>
      <c r="C2" s="202"/>
      <c r="D2" s="202"/>
      <c r="E2" s="202"/>
      <c r="F2" s="202"/>
      <c r="G2" s="202"/>
      <c r="H2" s="202"/>
      <c r="I2" s="202"/>
      <c r="J2" s="202"/>
    </row>
    <row r="3" ht="14.65" customHeight="1" spans="1:10">
      <c r="A3" s="203" t="s">
        <v>256</v>
      </c>
      <c r="B3" s="203"/>
      <c r="C3" s="203"/>
      <c r="D3" s="203"/>
      <c r="E3" s="203"/>
      <c r="F3" s="203"/>
      <c r="G3" s="203"/>
      <c r="H3" s="204" t="s">
        <v>257</v>
      </c>
      <c r="I3" s="204"/>
      <c r="J3" s="204"/>
    </row>
    <row r="4" ht="14.65" customHeight="1" spans="1:10">
      <c r="A4" s="203" t="s">
        <v>258</v>
      </c>
      <c r="B4" s="203"/>
      <c r="C4" s="203"/>
      <c r="D4" s="203"/>
      <c r="E4" s="203"/>
      <c r="F4" s="203"/>
      <c r="G4" s="203"/>
      <c r="H4" s="205" t="s">
        <v>259</v>
      </c>
      <c r="I4" s="204"/>
      <c r="J4" s="204"/>
    </row>
    <row r="5" ht="14.65" customHeight="1" spans="1:10">
      <c r="A5" s="203" t="s">
        <v>260</v>
      </c>
      <c r="B5" s="203"/>
      <c r="C5" s="203"/>
      <c r="D5" s="203"/>
      <c r="E5" s="203"/>
      <c r="F5" s="203"/>
      <c r="G5" s="203"/>
      <c r="H5" s="203"/>
      <c r="I5" s="203"/>
      <c r="J5" s="203"/>
    </row>
    <row r="6" ht="16.15" customHeight="1" spans="1:10">
      <c r="A6" s="206" t="s">
        <v>261</v>
      </c>
      <c r="B6" s="206"/>
      <c r="C6" s="206"/>
      <c r="D6" s="206"/>
      <c r="E6" s="206"/>
      <c r="F6" s="206"/>
      <c r="G6" s="206"/>
      <c r="H6" s="206"/>
      <c r="I6" s="206"/>
      <c r="J6" s="206"/>
    </row>
    <row r="7" ht="14.65" customHeight="1" spans="1:10">
      <c r="A7" s="207" t="s">
        <v>262</v>
      </c>
      <c r="B7" s="203" t="s">
        <v>263</v>
      </c>
      <c r="C7" s="203"/>
      <c r="D7" s="203"/>
      <c r="E7" s="203"/>
      <c r="F7" s="203"/>
      <c r="G7" s="203"/>
      <c r="H7" s="208">
        <f ca="1">TODAY()</f>
        <v>43853</v>
      </c>
      <c r="I7" s="208"/>
      <c r="J7" s="208"/>
    </row>
    <row r="8" ht="14.65" customHeight="1" spans="1:10">
      <c r="A8" s="207" t="s">
        <v>264</v>
      </c>
      <c r="B8" s="203" t="s">
        <v>265</v>
      </c>
      <c r="C8" s="203"/>
      <c r="D8" s="203"/>
      <c r="E8" s="203"/>
      <c r="F8" s="203"/>
      <c r="G8" s="203"/>
      <c r="H8" s="205" t="str">
        <f>'Aba Carregamento'!B13</f>
        <v>Porto Alegre/ RS</v>
      </c>
      <c r="I8" s="208"/>
      <c r="J8" s="208"/>
    </row>
    <row r="9" ht="14.85" customHeight="1" spans="1:10">
      <c r="A9" s="207" t="s">
        <v>266</v>
      </c>
      <c r="B9" s="203" t="s">
        <v>267</v>
      </c>
      <c r="C9" s="203"/>
      <c r="D9" s="203"/>
      <c r="E9" s="203"/>
      <c r="F9" s="203"/>
      <c r="G9" s="203"/>
      <c r="H9" s="208" t="str">
        <f>'Aba Carregamento'!B71</f>
        <v>RS 000092/2019</v>
      </c>
      <c r="I9" s="208"/>
      <c r="J9" s="208"/>
    </row>
    <row r="10" ht="14.65" customHeight="1" spans="1:10">
      <c r="A10" s="207" t="s">
        <v>268</v>
      </c>
      <c r="B10" s="203" t="s">
        <v>269</v>
      </c>
      <c r="C10" s="203"/>
      <c r="D10" s="203"/>
      <c r="E10" s="203"/>
      <c r="F10" s="203"/>
      <c r="G10" s="203"/>
      <c r="H10" s="204">
        <v>20</v>
      </c>
      <c r="I10" s="204"/>
      <c r="J10" s="204"/>
    </row>
    <row r="11" ht="16.15" customHeight="1" spans="1:10">
      <c r="A11" s="209" t="s">
        <v>270</v>
      </c>
      <c r="B11" s="209"/>
      <c r="C11" s="209"/>
      <c r="D11" s="209"/>
      <c r="E11" s="209"/>
      <c r="F11" s="209"/>
      <c r="G11" s="209"/>
      <c r="H11" s="209"/>
      <c r="I11" s="209"/>
      <c r="J11" s="209"/>
    </row>
    <row r="12" ht="51" customHeight="1" spans="1:10">
      <c r="A12" s="210" t="s">
        <v>271</v>
      </c>
      <c r="B12" s="210"/>
      <c r="C12" s="210"/>
      <c r="D12" s="210"/>
      <c r="E12" s="210"/>
      <c r="F12" s="210"/>
      <c r="G12" s="210" t="s">
        <v>272</v>
      </c>
      <c r="H12" s="210"/>
      <c r="I12" s="231" t="s">
        <v>273</v>
      </c>
      <c r="J12" s="231"/>
    </row>
    <row r="13" ht="14.65" customHeight="1" spans="1:10">
      <c r="A13" s="211" t="s">
        <v>274</v>
      </c>
      <c r="B13" s="211"/>
      <c r="C13" s="211"/>
      <c r="D13" s="211"/>
      <c r="E13" s="211"/>
      <c r="F13" s="211"/>
      <c r="G13" s="212" t="s">
        <v>275</v>
      </c>
      <c r="H13" s="212"/>
      <c r="I13" s="232">
        <f>'Aba Carregamento'!E25</f>
        <v>1033.84</v>
      </c>
      <c r="J13" s="232"/>
    </row>
    <row r="14" ht="14.65" customHeight="1" spans="1:10">
      <c r="A14" s="211" t="s">
        <v>276</v>
      </c>
      <c r="B14" s="211"/>
      <c r="C14" s="211"/>
      <c r="D14" s="211"/>
      <c r="E14" s="211"/>
      <c r="F14" s="211"/>
      <c r="G14" s="212" t="s">
        <v>275</v>
      </c>
      <c r="H14" s="212"/>
      <c r="I14" s="232">
        <f>'Aba Carregamento'!E26</f>
        <v>9507.89</v>
      </c>
      <c r="J14" s="232"/>
    </row>
    <row r="15" ht="14.65" customHeight="1" spans="1:10">
      <c r="A15" s="211" t="s">
        <v>277</v>
      </c>
      <c r="B15" s="211"/>
      <c r="C15" s="211"/>
      <c r="D15" s="211"/>
      <c r="E15" s="211"/>
      <c r="F15" s="211"/>
      <c r="G15" s="212" t="s">
        <v>275</v>
      </c>
      <c r="H15" s="212"/>
      <c r="I15" s="232">
        <f>'Aba Carregamento'!E27</f>
        <v>2609.18</v>
      </c>
      <c r="J15" s="232"/>
    </row>
    <row r="16" ht="14.65" customHeight="1" spans="1:10">
      <c r="A16" s="211" t="s">
        <v>278</v>
      </c>
      <c r="B16" s="211"/>
      <c r="C16" s="211"/>
      <c r="D16" s="211"/>
      <c r="E16" s="211"/>
      <c r="F16" s="211"/>
      <c r="G16" s="212" t="s">
        <v>275</v>
      </c>
      <c r="H16" s="212"/>
      <c r="I16" s="232">
        <f>'Aba Carregamento'!E28</f>
        <v>4812.8</v>
      </c>
      <c r="J16" s="232"/>
    </row>
    <row r="17" ht="14.65" customHeight="1" spans="1:10">
      <c r="A17" s="211" t="s">
        <v>279</v>
      </c>
      <c r="B17" s="211"/>
      <c r="C17" s="211"/>
      <c r="D17" s="211"/>
      <c r="E17" s="211"/>
      <c r="F17" s="211"/>
      <c r="G17" s="212" t="s">
        <v>275</v>
      </c>
      <c r="H17" s="212"/>
      <c r="I17" s="232">
        <f>'Aba Carregamento'!E29</f>
        <v>0</v>
      </c>
      <c r="J17" s="232"/>
    </row>
    <row r="18" ht="14.65" customHeight="1" spans="1:10">
      <c r="A18" s="211" t="s">
        <v>280</v>
      </c>
      <c r="B18" s="211"/>
      <c r="C18" s="211"/>
      <c r="D18" s="211" t="s">
        <v>281</v>
      </c>
      <c r="E18" s="211" t="s">
        <v>282</v>
      </c>
      <c r="F18" s="211" t="s">
        <v>283</v>
      </c>
      <c r="G18" s="212" t="s">
        <v>275</v>
      </c>
      <c r="H18" s="212"/>
      <c r="I18" s="232">
        <f>'Aba Carregamento'!E30</f>
        <v>909.25</v>
      </c>
      <c r="J18" s="232"/>
    </row>
    <row r="19" ht="14.65" customHeight="1" spans="1:10">
      <c r="A19" s="213" t="s">
        <v>284</v>
      </c>
      <c r="B19" s="213"/>
      <c r="C19" s="213"/>
      <c r="D19" s="213"/>
      <c r="E19" s="213"/>
      <c r="F19" s="213"/>
      <c r="G19" s="214" t="s">
        <v>275</v>
      </c>
      <c r="H19" s="214"/>
      <c r="I19" s="232">
        <v>0</v>
      </c>
      <c r="J19" s="232"/>
    </row>
    <row r="20" ht="14.65" customHeight="1" spans="1:10">
      <c r="A20" s="215" t="s">
        <v>285</v>
      </c>
      <c r="B20" s="215"/>
      <c r="C20" s="215"/>
      <c r="D20" s="215"/>
      <c r="E20" s="215"/>
      <c r="F20" s="215"/>
      <c r="G20" s="215"/>
      <c r="H20" s="215"/>
      <c r="I20" s="233">
        <v>18872.96</v>
      </c>
      <c r="J20" s="233"/>
    </row>
    <row r="21" spans="1:10">
      <c r="A21" s="216"/>
      <c r="B21" s="216"/>
      <c r="C21" s="216"/>
      <c r="D21" s="216"/>
      <c r="E21" s="216"/>
      <c r="F21" s="216"/>
      <c r="G21" s="216"/>
      <c r="H21" s="216"/>
      <c r="I21" s="216"/>
      <c r="J21" s="216"/>
    </row>
    <row r="22" ht="14.65" customHeight="1" spans="1:10">
      <c r="A22" s="211" t="s">
        <v>286</v>
      </c>
      <c r="B22" s="211"/>
      <c r="C22" s="211"/>
      <c r="D22" s="211"/>
      <c r="E22" s="211"/>
      <c r="F22" s="211"/>
      <c r="G22" s="211"/>
      <c r="H22" s="212" t="s">
        <v>275</v>
      </c>
      <c r="I22" s="212"/>
      <c r="J22" s="234">
        <f>'Aba Carregamento'!E31</f>
        <v>741.56</v>
      </c>
    </row>
    <row r="23" ht="14.65" customHeight="1" spans="1:10">
      <c r="A23" s="211" t="s">
        <v>287</v>
      </c>
      <c r="B23" s="211"/>
      <c r="C23" s="211"/>
      <c r="D23" s="211"/>
      <c r="E23" s="211"/>
      <c r="F23" s="211"/>
      <c r="G23" s="211"/>
      <c r="H23" s="217" t="s">
        <v>275</v>
      </c>
      <c r="I23" s="217"/>
      <c r="J23" s="234">
        <f>'Aba Carregamento'!E32</f>
        <v>0</v>
      </c>
    </row>
    <row r="24" ht="14.65" customHeight="1" spans="1:10">
      <c r="A24" s="211" t="s">
        <v>288</v>
      </c>
      <c r="B24" s="211"/>
      <c r="C24" s="211"/>
      <c r="D24" s="211"/>
      <c r="E24" s="211"/>
      <c r="F24" s="211"/>
      <c r="G24" s="211"/>
      <c r="H24" s="212" t="s">
        <v>275</v>
      </c>
      <c r="I24" s="212"/>
      <c r="J24" s="234">
        <f>'Aba Carregamento'!E33</f>
        <v>0</v>
      </c>
    </row>
    <row r="25" ht="14.65" customHeight="1" spans="1:10">
      <c r="A25" s="211" t="s">
        <v>289</v>
      </c>
      <c r="B25" s="211"/>
      <c r="C25" s="211"/>
      <c r="D25" s="211"/>
      <c r="E25" s="211"/>
      <c r="F25" s="211"/>
      <c r="G25" s="211"/>
      <c r="H25" s="217" t="s">
        <v>275</v>
      </c>
      <c r="I25" s="217"/>
      <c r="J25" s="234">
        <f>'Aba Carregamento'!E34</f>
        <v>0</v>
      </c>
    </row>
    <row r="26" ht="14.65" customHeight="1" spans="1:10">
      <c r="A26" s="211" t="s">
        <v>290</v>
      </c>
      <c r="B26" s="211"/>
      <c r="C26" s="211"/>
      <c r="D26" s="211"/>
      <c r="E26" s="211"/>
      <c r="F26" s="211"/>
      <c r="G26" s="211"/>
      <c r="H26" s="217" t="s">
        <v>275</v>
      </c>
      <c r="I26" s="217"/>
      <c r="J26" s="234">
        <f>'Aba Carregamento'!E35</f>
        <v>494.55</v>
      </c>
    </row>
    <row r="27" ht="14.65" customHeight="1" spans="1:10">
      <c r="A27" s="211" t="s">
        <v>291</v>
      </c>
      <c r="B27" s="211"/>
      <c r="C27" s="211"/>
      <c r="D27" s="211"/>
      <c r="E27" s="211"/>
      <c r="F27" s="211"/>
      <c r="G27" s="211"/>
      <c r="H27" s="212" t="s">
        <v>275</v>
      </c>
      <c r="I27" s="212"/>
      <c r="J27" s="234">
        <f>'Aba Carregamento'!E36</f>
        <v>0</v>
      </c>
    </row>
    <row r="28" ht="14.65" customHeight="1" spans="1:10">
      <c r="A28" s="215" t="s">
        <v>292</v>
      </c>
      <c r="B28" s="215"/>
      <c r="C28" s="215"/>
      <c r="D28" s="215"/>
      <c r="E28" s="215"/>
      <c r="F28" s="215"/>
      <c r="G28" s="215"/>
      <c r="H28" s="215"/>
      <c r="I28" s="215"/>
      <c r="J28" s="233">
        <f>ROUND(SUM(J22:J27),2)</f>
        <v>1236.11</v>
      </c>
    </row>
    <row r="29" spans="1:10">
      <c r="A29" s="216"/>
      <c r="B29" s="216"/>
      <c r="C29" s="216"/>
      <c r="D29" s="216"/>
      <c r="E29" s="216"/>
      <c r="F29" s="216"/>
      <c r="G29" s="216"/>
      <c r="H29" s="216"/>
      <c r="I29" s="216"/>
      <c r="J29" s="216"/>
    </row>
    <row r="30" ht="14.65" customHeight="1" spans="1:10">
      <c r="A30" s="211" t="s">
        <v>293</v>
      </c>
      <c r="B30" s="211"/>
      <c r="C30" s="211"/>
      <c r="D30" s="211"/>
      <c r="E30" s="211"/>
      <c r="F30" s="211"/>
      <c r="G30" s="211"/>
      <c r="H30" s="212" t="s">
        <v>275</v>
      </c>
      <c r="I30" s="212"/>
      <c r="J30" s="234">
        <f>'Aba Carregamento'!E37</f>
        <v>735.34</v>
      </c>
    </row>
    <row r="31" ht="14.65" customHeight="1" spans="1:10">
      <c r="A31" s="211" t="s">
        <v>294</v>
      </c>
      <c r="B31" s="211"/>
      <c r="C31" s="211"/>
      <c r="D31" s="211"/>
      <c r="E31" s="211"/>
      <c r="F31" s="211"/>
      <c r="G31" s="211"/>
      <c r="H31" s="212" t="s">
        <v>275</v>
      </c>
      <c r="I31" s="212"/>
      <c r="J31" s="234">
        <f>'Aba Carregamento'!E38</f>
        <v>760.32</v>
      </c>
    </row>
    <row r="32" ht="14.65" customHeight="1" spans="1:10">
      <c r="A32" s="211" t="s">
        <v>295</v>
      </c>
      <c r="B32" s="211"/>
      <c r="C32" s="211"/>
      <c r="D32" s="211"/>
      <c r="E32" s="211"/>
      <c r="F32" s="211"/>
      <c r="G32" s="211"/>
      <c r="H32" s="212" t="s">
        <v>275</v>
      </c>
      <c r="I32" s="212"/>
      <c r="J32" s="234">
        <f>'Aba Carregamento'!E39</f>
        <v>1863.68</v>
      </c>
    </row>
    <row r="33" spans="1:10">
      <c r="A33" s="218" t="s">
        <v>296</v>
      </c>
      <c r="B33" s="218"/>
      <c r="C33" s="218"/>
      <c r="D33" s="218"/>
      <c r="E33" s="218"/>
      <c r="F33" s="218"/>
      <c r="G33" s="218"/>
      <c r="H33" s="218"/>
      <c r="I33" s="218"/>
      <c r="J33" s="233">
        <f>ROUND(SUM(J30:J32),2)</f>
        <v>3359.34</v>
      </c>
    </row>
    <row r="34" spans="1:10">
      <c r="A34" s="216"/>
      <c r="B34" s="216"/>
      <c r="C34" s="216"/>
      <c r="D34" s="216"/>
      <c r="E34" s="216"/>
      <c r="F34" s="216"/>
      <c r="G34" s="216"/>
      <c r="H34" s="216"/>
      <c r="I34" s="216"/>
      <c r="J34" s="216"/>
    </row>
    <row r="35" ht="14.65" customHeight="1" spans="1:10">
      <c r="A35" s="219" t="s">
        <v>297</v>
      </c>
      <c r="B35" s="219"/>
      <c r="C35" s="219"/>
      <c r="D35" s="219"/>
      <c r="E35" s="219"/>
      <c r="F35" s="219"/>
      <c r="G35" s="219"/>
      <c r="H35" s="212" t="s">
        <v>275</v>
      </c>
      <c r="I35" s="212"/>
      <c r="J35" s="234">
        <f>'Aba Carregamento'!E40</f>
        <v>428</v>
      </c>
    </row>
    <row r="36" ht="14.65" customHeight="1" spans="1:10">
      <c r="A36" s="215" t="s">
        <v>298</v>
      </c>
      <c r="B36" s="215"/>
      <c r="C36" s="215"/>
      <c r="D36" s="215"/>
      <c r="E36" s="215"/>
      <c r="F36" s="215"/>
      <c r="G36" s="215"/>
      <c r="H36" s="215"/>
      <c r="I36" s="215"/>
      <c r="J36" s="233">
        <f>J35</f>
        <v>428</v>
      </c>
    </row>
    <row r="37" spans="1:10">
      <c r="A37" s="216"/>
      <c r="B37" s="216"/>
      <c r="C37" s="216"/>
      <c r="D37" s="216"/>
      <c r="E37" s="216"/>
      <c r="F37" s="216"/>
      <c r="G37" s="216"/>
      <c r="H37" s="216"/>
      <c r="I37" s="216"/>
      <c r="J37" s="216"/>
    </row>
    <row r="38" spans="1:10">
      <c r="A38" s="219" t="s">
        <v>299</v>
      </c>
      <c r="B38" s="219"/>
      <c r="C38" s="219"/>
      <c r="D38" s="219"/>
      <c r="E38" s="219"/>
      <c r="F38" s="219"/>
      <c r="G38" s="219"/>
      <c r="H38" s="217" t="s">
        <v>275</v>
      </c>
      <c r="I38" s="217"/>
      <c r="J38" s="234">
        <f>'Aba Carregamento'!E41</f>
        <v>0</v>
      </c>
    </row>
    <row r="39" spans="1:10">
      <c r="A39" s="220" t="s">
        <v>300</v>
      </c>
      <c r="B39" s="220"/>
      <c r="C39" s="220"/>
      <c r="D39" s="220"/>
      <c r="E39" s="220"/>
      <c r="F39" s="220"/>
      <c r="G39" s="220"/>
      <c r="H39" s="220"/>
      <c r="I39" s="220"/>
      <c r="J39" s="233">
        <f>J38</f>
        <v>0</v>
      </c>
    </row>
    <row r="40" spans="1:10">
      <c r="A40" s="216"/>
      <c r="B40" s="216"/>
      <c r="C40" s="216"/>
      <c r="D40" s="216"/>
      <c r="E40" s="216"/>
      <c r="F40" s="216"/>
      <c r="G40" s="216"/>
      <c r="H40" s="216"/>
      <c r="I40" s="216"/>
      <c r="J40" s="216"/>
    </row>
    <row r="41" spans="1:10">
      <c r="A41" s="221" t="s">
        <v>301</v>
      </c>
      <c r="B41" s="221"/>
      <c r="C41" s="221"/>
      <c r="D41" s="221"/>
      <c r="E41" s="221"/>
      <c r="F41" s="221"/>
      <c r="G41" s="221"/>
      <c r="H41" s="217" t="s">
        <v>275</v>
      </c>
      <c r="I41" s="217"/>
      <c r="J41" s="234"/>
    </row>
    <row r="42" spans="1:10">
      <c r="A42" s="218" t="s">
        <v>302</v>
      </c>
      <c r="B42" s="218"/>
      <c r="C42" s="218"/>
      <c r="D42" s="218"/>
      <c r="E42" s="218"/>
      <c r="F42" s="218"/>
      <c r="G42" s="218"/>
      <c r="H42" s="218"/>
      <c r="I42" s="218"/>
      <c r="J42" s="233">
        <f>J41</f>
        <v>0</v>
      </c>
    </row>
    <row r="43" spans="1:10">
      <c r="A43" s="216"/>
      <c r="B43" s="216"/>
      <c r="C43" s="216"/>
      <c r="D43" s="216"/>
      <c r="E43" s="216"/>
      <c r="F43" s="216"/>
      <c r="G43" s="216"/>
      <c r="H43" s="216"/>
      <c r="I43" s="216"/>
      <c r="J43" s="216"/>
    </row>
    <row r="44" ht="14.65" customHeight="1" spans="1:10">
      <c r="A44" s="222" t="s">
        <v>303</v>
      </c>
      <c r="B44" s="222"/>
      <c r="C44" s="222"/>
      <c r="D44" s="222"/>
      <c r="E44" s="222"/>
      <c r="F44" s="222"/>
      <c r="G44" s="222"/>
      <c r="H44" s="222"/>
      <c r="I44" s="222"/>
      <c r="J44" s="235">
        <f>ROUND(I20+J28+J33+J36+J39+J42,2)</f>
        <v>23896.41</v>
      </c>
    </row>
    <row r="45" spans="1:10">
      <c r="A45" s="216"/>
      <c r="B45" s="216"/>
      <c r="C45" s="216"/>
      <c r="D45" s="216"/>
      <c r="E45" s="216"/>
      <c r="F45" s="216"/>
      <c r="G45" s="216"/>
      <c r="H45" s="216"/>
      <c r="I45" s="216"/>
      <c r="J45" s="216"/>
    </row>
    <row r="46" ht="48.2" customHeight="1" spans="1:10">
      <c r="A46" s="223" t="s">
        <v>304</v>
      </c>
      <c r="B46" s="223"/>
      <c r="C46" s="223"/>
      <c r="D46" s="223"/>
      <c r="E46" s="223"/>
      <c r="F46" s="223"/>
      <c r="G46" s="223"/>
      <c r="H46" s="223"/>
      <c r="I46" s="223"/>
      <c r="J46" s="223"/>
    </row>
    <row r="47" spans="1:10">
      <c r="A47" s="216"/>
      <c r="B47" s="216"/>
      <c r="C47" s="216"/>
      <c r="D47" s="216"/>
      <c r="E47" s="216"/>
      <c r="F47" s="216"/>
      <c r="G47" s="216"/>
      <c r="H47" s="216"/>
      <c r="I47" s="216"/>
      <c r="J47" s="216"/>
    </row>
    <row r="48" ht="48.75" customHeight="1" spans="1:10">
      <c r="A48" s="224" t="s">
        <v>305</v>
      </c>
      <c r="B48" s="224"/>
      <c r="C48" s="224"/>
      <c r="D48" s="224"/>
      <c r="E48" s="224"/>
      <c r="F48" s="224"/>
      <c r="G48" s="224"/>
      <c r="H48" s="224"/>
      <c r="I48" s="224"/>
      <c r="J48" s="224"/>
    </row>
    <row r="49" spans="1:10">
      <c r="A49" s="216"/>
      <c r="B49" s="216"/>
      <c r="C49" s="216"/>
      <c r="D49" s="216"/>
      <c r="E49" s="216"/>
      <c r="F49" s="216"/>
      <c r="G49" s="216"/>
      <c r="H49" s="216"/>
      <c r="I49" s="216"/>
      <c r="J49" s="216"/>
    </row>
    <row r="50" ht="16.15" customHeight="1" spans="1:10">
      <c r="A50" s="225" t="s">
        <v>306</v>
      </c>
      <c r="B50" s="225"/>
      <c r="C50" s="225"/>
      <c r="D50" s="225"/>
      <c r="E50" s="225"/>
      <c r="F50" s="225"/>
      <c r="G50" s="225"/>
      <c r="H50" s="225"/>
      <c r="I50" s="225"/>
      <c r="J50" s="225"/>
    </row>
    <row r="51" ht="16.15" customHeight="1" spans="1:10">
      <c r="A51" s="207">
        <v>1</v>
      </c>
      <c r="B51" s="203" t="s">
        <v>307</v>
      </c>
      <c r="C51" s="203"/>
      <c r="D51" s="203"/>
      <c r="E51" s="203"/>
      <c r="F51" s="203"/>
      <c r="G51" s="203"/>
      <c r="H51" s="226" t="s">
        <v>308</v>
      </c>
      <c r="I51" s="226"/>
      <c r="J51" s="226"/>
    </row>
    <row r="52" ht="16.15" customHeight="1" spans="1:10">
      <c r="A52" s="207">
        <v>2</v>
      </c>
      <c r="B52" s="203" t="s">
        <v>309</v>
      </c>
      <c r="C52" s="203"/>
      <c r="D52" s="203"/>
      <c r="E52" s="203"/>
      <c r="F52" s="203"/>
      <c r="G52" s="203"/>
      <c r="H52" s="226">
        <v>5143</v>
      </c>
      <c r="I52" s="226"/>
      <c r="J52" s="226"/>
    </row>
    <row r="53" ht="16.15" customHeight="1" spans="1:10">
      <c r="A53" s="207">
        <v>3</v>
      </c>
      <c r="B53" s="203" t="s">
        <v>310</v>
      </c>
      <c r="C53" s="203"/>
      <c r="D53" s="203"/>
      <c r="E53" s="203"/>
      <c r="F53" s="203"/>
      <c r="G53" s="203"/>
      <c r="H53" s="227">
        <f>'Aba Carregamento'!B73</f>
        <v>1083.96</v>
      </c>
      <c r="I53" s="227"/>
      <c r="J53" s="227"/>
    </row>
    <row r="54" ht="16.15" customHeight="1" spans="1:10">
      <c r="A54" s="207">
        <v>4</v>
      </c>
      <c r="B54" s="203" t="s">
        <v>311</v>
      </c>
      <c r="C54" s="203"/>
      <c r="D54" s="203"/>
      <c r="E54" s="203"/>
      <c r="F54" s="203"/>
      <c r="G54" s="203"/>
      <c r="H54" s="228" t="s">
        <v>312</v>
      </c>
      <c r="I54" s="228"/>
      <c r="J54" s="228"/>
    </row>
    <row r="55" ht="16.15" customHeight="1" spans="1:10">
      <c r="A55" s="207">
        <v>5</v>
      </c>
      <c r="B55" s="203" t="s">
        <v>313</v>
      </c>
      <c r="C55" s="203"/>
      <c r="D55" s="203"/>
      <c r="E55" s="203"/>
      <c r="F55" s="203"/>
      <c r="G55" s="203"/>
      <c r="H55" s="229">
        <f>'Aba Carregamento'!B72</f>
        <v>43466</v>
      </c>
      <c r="I55" s="229"/>
      <c r="J55" s="229"/>
    </row>
    <row r="56" spans="1:10">
      <c r="A56" s="216"/>
      <c r="B56" s="216"/>
      <c r="C56" s="216"/>
      <c r="D56" s="216"/>
      <c r="E56" s="216"/>
      <c r="F56" s="216"/>
      <c r="G56" s="216"/>
      <c r="H56" s="216"/>
      <c r="I56" s="216"/>
      <c r="J56" s="216"/>
    </row>
    <row r="57" ht="27.6" customHeight="1" spans="1:10">
      <c r="A57" s="230" t="s">
        <v>314</v>
      </c>
      <c r="B57" s="230"/>
      <c r="C57" s="230"/>
      <c r="D57" s="230"/>
      <c r="E57" s="230"/>
      <c r="F57" s="230"/>
      <c r="G57" s="230"/>
      <c r="H57" s="230"/>
      <c r="I57" s="230"/>
      <c r="J57" s="230"/>
    </row>
    <row r="58" spans="1:10">
      <c r="A58" s="216"/>
      <c r="B58" s="216"/>
      <c r="C58" s="216"/>
      <c r="D58" s="216"/>
      <c r="E58" s="216"/>
      <c r="F58" s="216"/>
      <c r="G58" s="216"/>
      <c r="H58" s="216"/>
      <c r="I58" s="216"/>
      <c r="J58" s="216"/>
    </row>
    <row r="59" ht="20.65" customHeight="1" spans="1:10">
      <c r="A59" s="224" t="s">
        <v>315</v>
      </c>
      <c r="B59" s="224"/>
      <c r="C59" s="224"/>
      <c r="D59" s="224"/>
      <c r="E59" s="224"/>
      <c r="F59" s="224"/>
      <c r="G59" s="224"/>
      <c r="H59" s="224"/>
      <c r="I59" s="224"/>
      <c r="J59" s="224"/>
    </row>
    <row r="60" ht="30.4" customHeight="1" spans="1:10">
      <c r="A60" s="225">
        <v>1</v>
      </c>
      <c r="B60" s="225" t="s">
        <v>316</v>
      </c>
      <c r="C60" s="225"/>
      <c r="D60" s="225"/>
      <c r="E60" s="225"/>
      <c r="F60" s="225"/>
      <c r="G60" s="225"/>
      <c r="H60" s="225" t="s">
        <v>317</v>
      </c>
      <c r="I60" s="225"/>
      <c r="J60" s="225" t="s">
        <v>318</v>
      </c>
    </row>
    <row r="61" ht="27.6" customHeight="1" spans="1:10">
      <c r="A61" s="207" t="s">
        <v>262</v>
      </c>
      <c r="B61" s="203" t="s">
        <v>319</v>
      </c>
      <c r="C61" s="203"/>
      <c r="D61" s="203"/>
      <c r="E61" s="203"/>
      <c r="F61" s="203"/>
      <c r="G61" s="203"/>
      <c r="H61" s="203"/>
      <c r="I61" s="203"/>
      <c r="J61" s="236">
        <f>H53/220*'Aba Carregamento'!B77</f>
        <v>1083.96</v>
      </c>
    </row>
    <row r="62" ht="14.65" customHeight="1" spans="1:10">
      <c r="A62" s="207" t="s">
        <v>264</v>
      </c>
      <c r="B62" s="203" t="s">
        <v>320</v>
      </c>
      <c r="C62" s="203"/>
      <c r="D62" s="203"/>
      <c r="E62" s="203"/>
      <c r="F62" s="203"/>
      <c r="G62" s="203"/>
      <c r="H62" s="203"/>
      <c r="I62" s="203"/>
      <c r="J62" s="236"/>
    </row>
    <row r="63" ht="14.65" customHeight="1" spans="1:10">
      <c r="A63" s="207" t="s">
        <v>266</v>
      </c>
      <c r="B63" s="203" t="s">
        <v>321</v>
      </c>
      <c r="C63" s="203"/>
      <c r="D63" s="203"/>
      <c r="E63" s="203"/>
      <c r="F63" s="203"/>
      <c r="G63" s="203"/>
      <c r="H63" s="203"/>
      <c r="I63" s="237">
        <v>0.2</v>
      </c>
      <c r="J63" s="236">
        <f>ROUND(I63*J61,2)</f>
        <v>216.79</v>
      </c>
    </row>
    <row r="64" ht="14.65" customHeight="1" spans="1:10">
      <c r="A64" s="207" t="s">
        <v>268</v>
      </c>
      <c r="B64" s="203" t="s">
        <v>322</v>
      </c>
      <c r="C64" s="203"/>
      <c r="D64" s="203"/>
      <c r="E64" s="203"/>
      <c r="F64" s="203"/>
      <c r="G64" s="203"/>
      <c r="H64" s="203"/>
      <c r="I64" s="203"/>
      <c r="J64" s="236"/>
    </row>
    <row r="65" ht="14.65" customHeight="1" spans="1:10">
      <c r="A65" s="207" t="s">
        <v>323</v>
      </c>
      <c r="B65" s="203" t="s">
        <v>324</v>
      </c>
      <c r="C65" s="203"/>
      <c r="D65" s="203"/>
      <c r="E65" s="203"/>
      <c r="F65" s="203"/>
      <c r="G65" s="203"/>
      <c r="H65" s="203"/>
      <c r="I65" s="203"/>
      <c r="J65" s="257"/>
    </row>
    <row r="66" ht="14.65" customHeight="1" spans="1:10">
      <c r="A66" s="207" t="s">
        <v>325</v>
      </c>
      <c r="B66" s="203" t="s">
        <v>326</v>
      </c>
      <c r="C66" s="203"/>
      <c r="D66" s="203"/>
      <c r="E66" s="203"/>
      <c r="F66" s="203"/>
      <c r="G66" s="203"/>
      <c r="H66" s="203"/>
      <c r="I66" s="203"/>
      <c r="J66" s="257"/>
    </row>
    <row r="67" ht="14.65" customHeight="1" spans="1:10">
      <c r="A67" s="207" t="s">
        <v>327</v>
      </c>
      <c r="B67" s="203" t="s">
        <v>328</v>
      </c>
      <c r="C67" s="203"/>
      <c r="D67" s="203"/>
      <c r="E67" s="203"/>
      <c r="F67" s="203"/>
      <c r="G67" s="203"/>
      <c r="H67" s="203"/>
      <c r="I67" s="203"/>
      <c r="J67" s="236"/>
    </row>
    <row r="68" ht="15.75" customHeight="1" spans="1:10">
      <c r="A68" s="238" t="s">
        <v>329</v>
      </c>
      <c r="B68" s="238"/>
      <c r="C68" s="238"/>
      <c r="D68" s="238"/>
      <c r="E68" s="238"/>
      <c r="F68" s="238"/>
      <c r="G68" s="238"/>
      <c r="H68" s="238"/>
      <c r="I68" s="238"/>
      <c r="J68" s="258">
        <f>SUM(J61:J67)</f>
        <v>1300.75</v>
      </c>
    </row>
    <row r="69" spans="1:10">
      <c r="A69" s="216"/>
      <c r="B69" s="216"/>
      <c r="C69" s="216"/>
      <c r="D69" s="216"/>
      <c r="E69" s="216"/>
      <c r="F69" s="216"/>
      <c r="G69" s="216"/>
      <c r="H69" s="216"/>
      <c r="I69" s="216"/>
      <c r="J69" s="216"/>
    </row>
    <row r="70" ht="39" customHeight="1" spans="1:10">
      <c r="A70" s="239" t="s">
        <v>330</v>
      </c>
      <c r="B70" s="239"/>
      <c r="C70" s="239"/>
      <c r="D70" s="239"/>
      <c r="E70" s="239"/>
      <c r="F70" s="239"/>
      <c r="G70" s="239"/>
      <c r="H70" s="239"/>
      <c r="I70" s="239"/>
      <c r="J70" s="239"/>
    </row>
    <row r="71" spans="1:10">
      <c r="A71" s="216"/>
      <c r="B71" s="216"/>
      <c r="C71" s="216"/>
      <c r="D71" s="216"/>
      <c r="E71" s="216"/>
      <c r="F71" s="216"/>
      <c r="G71" s="216"/>
      <c r="H71" s="216"/>
      <c r="I71" s="216"/>
      <c r="J71" s="216"/>
    </row>
    <row r="72" ht="16.15" customHeight="1" spans="1:10">
      <c r="A72" s="240" t="s">
        <v>331</v>
      </c>
      <c r="B72" s="240"/>
      <c r="C72" s="240"/>
      <c r="D72" s="240"/>
      <c r="E72" s="240"/>
      <c r="F72" s="240"/>
      <c r="G72" s="240"/>
      <c r="H72" s="240"/>
      <c r="I72" s="240"/>
      <c r="J72" s="240"/>
    </row>
    <row r="73" ht="15" spans="1:10">
      <c r="A73" s="241" t="s">
        <v>332</v>
      </c>
      <c r="B73" s="241"/>
      <c r="C73" s="241"/>
      <c r="D73" s="241"/>
      <c r="E73" s="241"/>
      <c r="F73" s="241"/>
      <c r="G73" s="241"/>
      <c r="H73" s="241"/>
      <c r="I73" s="241"/>
      <c r="J73" s="241"/>
    </row>
    <row r="74" ht="15" spans="1:10">
      <c r="A74" s="242" t="s">
        <v>333</v>
      </c>
      <c r="B74" s="243" t="s">
        <v>334</v>
      </c>
      <c r="C74" s="243"/>
      <c r="D74" s="243"/>
      <c r="E74" s="243"/>
      <c r="F74" s="243"/>
      <c r="G74" s="243"/>
      <c r="H74" s="243"/>
      <c r="I74" s="243"/>
      <c r="J74" s="209" t="s">
        <v>335</v>
      </c>
    </row>
    <row r="75" spans="1:10">
      <c r="A75" s="244" t="s">
        <v>262</v>
      </c>
      <c r="B75" s="245" t="s">
        <v>336</v>
      </c>
      <c r="C75" s="245"/>
      <c r="D75" s="245"/>
      <c r="E75" s="245"/>
      <c r="F75" s="245"/>
      <c r="G75" s="245"/>
      <c r="H75" s="245"/>
      <c r="I75" s="245"/>
      <c r="J75" s="259">
        <v>108.4</v>
      </c>
    </row>
    <row r="76" spans="1:10">
      <c r="A76" s="244" t="s">
        <v>264</v>
      </c>
      <c r="B76" s="245" t="s">
        <v>337</v>
      </c>
      <c r="C76" s="245"/>
      <c r="D76" s="245"/>
      <c r="E76" s="245"/>
      <c r="F76" s="245"/>
      <c r="G76" s="245"/>
      <c r="H76" s="245"/>
      <c r="I76" s="245"/>
      <c r="J76" s="259">
        <f>ROUND(($J$68/3)/12,2)</f>
        <v>36.13</v>
      </c>
    </row>
    <row r="77" spans="1:10">
      <c r="A77" s="246" t="s">
        <v>338</v>
      </c>
      <c r="B77" s="246"/>
      <c r="C77" s="246"/>
      <c r="D77" s="246"/>
      <c r="E77" s="246"/>
      <c r="F77" s="246"/>
      <c r="G77" s="246"/>
      <c r="H77" s="246"/>
      <c r="I77" s="246"/>
      <c r="J77" s="260">
        <f>SUM(J75+J76)</f>
        <v>144.53</v>
      </c>
    </row>
    <row r="78" spans="1:10">
      <c r="A78" s="247" t="s">
        <v>266</v>
      </c>
      <c r="B78" s="245" t="s">
        <v>339</v>
      </c>
      <c r="C78" s="245"/>
      <c r="D78" s="245"/>
      <c r="E78" s="245"/>
      <c r="F78" s="245"/>
      <c r="G78" s="245"/>
      <c r="H78" s="245"/>
      <c r="I78" s="245"/>
      <c r="J78" s="261">
        <f>ROUND(I93*J77,2)</f>
        <v>53.19</v>
      </c>
    </row>
    <row r="79" spans="1:10">
      <c r="A79" s="248" t="s">
        <v>338</v>
      </c>
      <c r="B79" s="248"/>
      <c r="C79" s="248"/>
      <c r="D79" s="248"/>
      <c r="E79" s="248"/>
      <c r="F79" s="248"/>
      <c r="G79" s="248"/>
      <c r="H79" s="248"/>
      <c r="I79" s="248"/>
      <c r="J79" s="262">
        <f>J77+J78</f>
        <v>197.72</v>
      </c>
    </row>
    <row r="80" spans="1:10">
      <c r="A80" s="216"/>
      <c r="B80" s="216"/>
      <c r="C80" s="216"/>
      <c r="D80" s="216"/>
      <c r="E80" s="216"/>
      <c r="F80" s="216"/>
      <c r="G80" s="216"/>
      <c r="H80" s="216"/>
      <c r="I80" s="216"/>
      <c r="J80" s="216"/>
    </row>
    <row r="81" ht="48.2" customHeight="1" spans="1:10">
      <c r="A81" s="223" t="s">
        <v>340</v>
      </c>
      <c r="B81" s="223"/>
      <c r="C81" s="223"/>
      <c r="D81" s="223"/>
      <c r="E81" s="223"/>
      <c r="F81" s="223"/>
      <c r="G81" s="223"/>
      <c r="H81" s="223"/>
      <c r="I81" s="223"/>
      <c r="J81" s="223"/>
    </row>
    <row r="82" spans="1:10">
      <c r="A82" s="216"/>
      <c r="B82" s="216"/>
      <c r="C82" s="216"/>
      <c r="D82" s="216"/>
      <c r="E82" s="216"/>
      <c r="F82" s="216"/>
      <c r="G82" s="216"/>
      <c r="H82" s="216"/>
      <c r="I82" s="216"/>
      <c r="J82" s="216"/>
    </row>
    <row r="83" ht="30.4" customHeight="1" spans="1:10">
      <c r="A83" s="240" t="s">
        <v>341</v>
      </c>
      <c r="B83" s="240"/>
      <c r="C83" s="240"/>
      <c r="D83" s="240"/>
      <c r="E83" s="240"/>
      <c r="F83" s="240"/>
      <c r="G83" s="240"/>
      <c r="H83" s="240"/>
      <c r="I83" s="240"/>
      <c r="J83" s="240"/>
    </row>
    <row r="84" ht="30" spans="1:10">
      <c r="A84" s="249" t="s">
        <v>342</v>
      </c>
      <c r="B84" s="249" t="s">
        <v>343</v>
      </c>
      <c r="C84" s="249"/>
      <c r="D84" s="249"/>
      <c r="E84" s="249"/>
      <c r="F84" s="249"/>
      <c r="G84" s="249"/>
      <c r="H84" s="249"/>
      <c r="I84" s="225" t="s">
        <v>344</v>
      </c>
      <c r="J84" s="225" t="s">
        <v>345</v>
      </c>
    </row>
    <row r="85" spans="1:10">
      <c r="A85" s="244" t="s">
        <v>262</v>
      </c>
      <c r="B85" s="245" t="s">
        <v>346</v>
      </c>
      <c r="C85" s="245"/>
      <c r="D85" s="245"/>
      <c r="E85" s="245"/>
      <c r="F85" s="245"/>
      <c r="G85" s="245"/>
      <c r="H85" s="245"/>
      <c r="I85" s="263">
        <v>0.2</v>
      </c>
      <c r="J85" s="264">
        <f t="shared" ref="J85:J92" si="0">ROUND($J$68*I85,2)</f>
        <v>260.15</v>
      </c>
    </row>
    <row r="86" spans="1:10">
      <c r="A86" s="244" t="s">
        <v>264</v>
      </c>
      <c r="B86" s="245" t="s">
        <v>347</v>
      </c>
      <c r="C86" s="245"/>
      <c r="D86" s="245"/>
      <c r="E86" s="245"/>
      <c r="F86" s="245"/>
      <c r="G86" s="245"/>
      <c r="H86" s="245"/>
      <c r="I86" s="265">
        <v>0.025</v>
      </c>
      <c r="J86" s="264">
        <f t="shared" si="0"/>
        <v>32.52</v>
      </c>
    </row>
    <row r="87" ht="46.5" customHeight="1" spans="1:10">
      <c r="A87" s="244" t="s">
        <v>266</v>
      </c>
      <c r="B87" s="250" t="s">
        <v>348</v>
      </c>
      <c r="C87" s="250"/>
      <c r="D87" s="250"/>
      <c r="E87" s="251" t="s">
        <v>349</v>
      </c>
      <c r="F87" s="252">
        <f>'Aba Carregamento'!B83</f>
        <v>0.03</v>
      </c>
      <c r="G87" s="251" t="s">
        <v>350</v>
      </c>
      <c r="H87" s="253">
        <f>'Aba Carregamento'!B84</f>
        <v>1</v>
      </c>
      <c r="I87" s="266">
        <f>ROUND((F87*H87),6)</f>
        <v>0.03</v>
      </c>
      <c r="J87" s="264">
        <f t="shared" si="0"/>
        <v>39.02</v>
      </c>
    </row>
    <row r="88" spans="1:10">
      <c r="A88" s="244" t="s">
        <v>268</v>
      </c>
      <c r="B88" s="245" t="s">
        <v>351</v>
      </c>
      <c r="C88" s="245"/>
      <c r="D88" s="245"/>
      <c r="E88" s="245"/>
      <c r="F88" s="245"/>
      <c r="G88" s="245"/>
      <c r="H88" s="245"/>
      <c r="I88" s="263">
        <v>0.015</v>
      </c>
      <c r="J88" s="264">
        <f t="shared" si="0"/>
        <v>19.51</v>
      </c>
    </row>
    <row r="89" spans="1:10">
      <c r="A89" s="244" t="s">
        <v>323</v>
      </c>
      <c r="B89" s="245" t="s">
        <v>352</v>
      </c>
      <c r="C89" s="245"/>
      <c r="D89" s="245"/>
      <c r="E89" s="245"/>
      <c r="F89" s="245"/>
      <c r="G89" s="245"/>
      <c r="H89" s="245"/>
      <c r="I89" s="263">
        <v>0.01</v>
      </c>
      <c r="J89" s="264">
        <f t="shared" si="0"/>
        <v>13.01</v>
      </c>
    </row>
    <row r="90" spans="1:10">
      <c r="A90" s="244" t="s">
        <v>325</v>
      </c>
      <c r="B90" s="245" t="s">
        <v>353</v>
      </c>
      <c r="C90" s="245"/>
      <c r="D90" s="245"/>
      <c r="E90" s="245"/>
      <c r="F90" s="245"/>
      <c r="G90" s="245"/>
      <c r="H90" s="245"/>
      <c r="I90" s="265">
        <v>0.006</v>
      </c>
      <c r="J90" s="264">
        <f t="shared" si="0"/>
        <v>7.8</v>
      </c>
    </row>
    <row r="91" spans="1:10">
      <c r="A91" s="244" t="s">
        <v>327</v>
      </c>
      <c r="B91" s="245" t="s">
        <v>354</v>
      </c>
      <c r="C91" s="245"/>
      <c r="D91" s="245"/>
      <c r="E91" s="245"/>
      <c r="F91" s="245"/>
      <c r="G91" s="245"/>
      <c r="H91" s="245"/>
      <c r="I91" s="263">
        <v>0.002</v>
      </c>
      <c r="J91" s="264">
        <f t="shared" si="0"/>
        <v>2.6</v>
      </c>
    </row>
    <row r="92" spans="1:10">
      <c r="A92" s="244" t="s">
        <v>355</v>
      </c>
      <c r="B92" s="245" t="s">
        <v>356</v>
      </c>
      <c r="C92" s="245"/>
      <c r="D92" s="245"/>
      <c r="E92" s="245"/>
      <c r="F92" s="245"/>
      <c r="G92" s="245"/>
      <c r="H92" s="245"/>
      <c r="I92" s="265">
        <v>0.08</v>
      </c>
      <c r="J92" s="264">
        <f t="shared" si="0"/>
        <v>104.06</v>
      </c>
    </row>
    <row r="93" spans="1:10">
      <c r="A93" s="248" t="s">
        <v>338</v>
      </c>
      <c r="B93" s="248"/>
      <c r="C93" s="248"/>
      <c r="D93" s="248"/>
      <c r="E93" s="248"/>
      <c r="F93" s="248"/>
      <c r="G93" s="248"/>
      <c r="H93" s="248"/>
      <c r="I93" s="267">
        <f>SUM(I85:I92)</f>
        <v>0.368</v>
      </c>
      <c r="J93" s="262">
        <f>SUM(J85:J92)</f>
        <v>478.67</v>
      </c>
    </row>
    <row r="94" spans="1:10">
      <c r="A94" s="216"/>
      <c r="B94" s="216"/>
      <c r="C94" s="216"/>
      <c r="D94" s="216"/>
      <c r="E94" s="216"/>
      <c r="F94" s="216"/>
      <c r="G94" s="216"/>
      <c r="H94" s="216"/>
      <c r="I94" s="216"/>
      <c r="J94" s="216"/>
    </row>
    <row r="95" ht="37.35" customHeight="1" spans="1:10">
      <c r="A95" s="223" t="s">
        <v>357</v>
      </c>
      <c r="B95" s="223"/>
      <c r="C95" s="223"/>
      <c r="D95" s="223"/>
      <c r="E95" s="223"/>
      <c r="F95" s="223"/>
      <c r="G95" s="223"/>
      <c r="H95" s="223"/>
      <c r="I95" s="223"/>
      <c r="J95" s="223"/>
    </row>
    <row r="96" spans="1:10">
      <c r="A96" s="216"/>
      <c r="B96" s="216"/>
      <c r="C96" s="216"/>
      <c r="D96" s="216"/>
      <c r="E96" s="216"/>
      <c r="F96" s="216"/>
      <c r="G96" s="216"/>
      <c r="H96" s="216"/>
      <c r="I96" s="216"/>
      <c r="J96" s="216"/>
    </row>
    <row r="97" ht="16.15" customHeight="1" spans="1:10">
      <c r="A97" s="240" t="s">
        <v>358</v>
      </c>
      <c r="B97" s="240"/>
      <c r="C97" s="240"/>
      <c r="D97" s="240"/>
      <c r="E97" s="240"/>
      <c r="F97" s="240"/>
      <c r="G97" s="240"/>
      <c r="H97" s="240"/>
      <c r="I97" s="240"/>
      <c r="J97" s="240"/>
    </row>
    <row r="98" ht="15" spans="1:10">
      <c r="A98" s="249" t="s">
        <v>359</v>
      </c>
      <c r="B98" s="249" t="s">
        <v>360</v>
      </c>
      <c r="C98" s="249"/>
      <c r="D98" s="249"/>
      <c r="E98" s="249"/>
      <c r="F98" s="249"/>
      <c r="G98" s="249"/>
      <c r="H98" s="249"/>
      <c r="I98" s="249"/>
      <c r="J98" s="225" t="s">
        <v>335</v>
      </c>
    </row>
    <row r="99" spans="1:10">
      <c r="A99" s="244" t="s">
        <v>262</v>
      </c>
      <c r="B99" s="245" t="s">
        <v>361</v>
      </c>
      <c r="C99" s="245"/>
      <c r="D99" s="245"/>
      <c r="E99" s="245"/>
      <c r="F99" s="245"/>
      <c r="G99" s="245"/>
      <c r="H99" s="245"/>
      <c r="I99" s="245"/>
      <c r="J99" s="268">
        <f>IF(ROUND((I102*I100*I101)-(J61*0.06),2)&lt;0,0,ROUND((I102*I100*I101)-(J61*0.06),2))*1+(I100*I101*21.726-0.06*J61)*0</f>
        <v>132.36</v>
      </c>
    </row>
    <row r="100" spans="1:10">
      <c r="A100" s="244"/>
      <c r="B100" s="254" t="s">
        <v>362</v>
      </c>
      <c r="C100" s="254"/>
      <c r="D100" s="254"/>
      <c r="E100" s="254"/>
      <c r="F100" s="254"/>
      <c r="G100" s="254"/>
      <c r="H100" s="254"/>
      <c r="I100" s="269">
        <f>'Aba Carregamento'!B88</f>
        <v>4.7</v>
      </c>
      <c r="J100" s="270" t="s">
        <v>363</v>
      </c>
    </row>
    <row r="101" spans="1:10">
      <c r="A101" s="244"/>
      <c r="B101" s="254" t="s">
        <v>364</v>
      </c>
      <c r="C101" s="254"/>
      <c r="D101" s="254"/>
      <c r="E101" s="254"/>
      <c r="F101" s="254"/>
      <c r="G101" s="254"/>
      <c r="H101" s="254"/>
      <c r="I101" s="271">
        <f>'Aba Carregamento'!B89</f>
        <v>2</v>
      </c>
      <c r="J101" s="270"/>
    </row>
    <row r="102" spans="1:10">
      <c r="A102" s="244"/>
      <c r="B102" s="254" t="s">
        <v>365</v>
      </c>
      <c r="C102" s="254"/>
      <c r="D102" s="254"/>
      <c r="E102" s="254"/>
      <c r="F102" s="254"/>
      <c r="G102" s="254"/>
      <c r="H102" s="254"/>
      <c r="I102" s="272">
        <f>'Aba Carregamento'!B90</f>
        <v>21</v>
      </c>
      <c r="J102" s="270"/>
    </row>
    <row r="103" spans="1:10">
      <c r="A103" s="244" t="s">
        <v>264</v>
      </c>
      <c r="B103" s="245" t="s">
        <v>366</v>
      </c>
      <c r="C103" s="245"/>
      <c r="D103" s="245"/>
      <c r="E103" s="245"/>
      <c r="F103" s="245"/>
      <c r="G103" s="245"/>
      <c r="H103" s="245"/>
      <c r="I103" s="245"/>
      <c r="J103" s="268">
        <f>ROUND(I105*I104*(1-I106),2)*1+ROUND(21.726*6*(1-I106),2)*0</f>
        <v>284.58</v>
      </c>
    </row>
    <row r="104" spans="1:10">
      <c r="A104" s="244"/>
      <c r="B104" s="254" t="s">
        <v>367</v>
      </c>
      <c r="C104" s="254"/>
      <c r="D104" s="254"/>
      <c r="E104" s="254"/>
      <c r="F104" s="254"/>
      <c r="G104" s="254"/>
      <c r="H104" s="254"/>
      <c r="I104" s="269">
        <f>'Aba Carregamento'!B85</f>
        <v>16.73</v>
      </c>
      <c r="J104" s="270" t="s">
        <v>363</v>
      </c>
    </row>
    <row r="105" spans="1:10">
      <c r="A105" s="255"/>
      <c r="B105" s="254" t="s">
        <v>368</v>
      </c>
      <c r="C105" s="254"/>
      <c r="D105" s="254"/>
      <c r="E105" s="254"/>
      <c r="F105" s="254"/>
      <c r="G105" s="254"/>
      <c r="H105" s="254"/>
      <c r="I105" s="273">
        <f>'Aba Carregamento'!B87</f>
        <v>21</v>
      </c>
      <c r="J105" s="270"/>
    </row>
    <row r="106" spans="1:17">
      <c r="A106" s="255"/>
      <c r="B106" s="254" t="s">
        <v>369</v>
      </c>
      <c r="C106" s="254"/>
      <c r="D106" s="254"/>
      <c r="E106" s="254"/>
      <c r="F106" s="254"/>
      <c r="G106" s="254"/>
      <c r="H106" s="254"/>
      <c r="I106" s="274">
        <f>'Aba Carregamento'!B86</f>
        <v>0.19</v>
      </c>
      <c r="J106" s="270"/>
      <c r="Q106" s="280"/>
    </row>
    <row r="107" spans="1:10">
      <c r="A107" s="244" t="s">
        <v>266</v>
      </c>
      <c r="B107" s="245" t="s">
        <v>370</v>
      </c>
      <c r="C107" s="245"/>
      <c r="D107" s="245"/>
      <c r="E107" s="245"/>
      <c r="F107" s="245"/>
      <c r="G107" s="245"/>
      <c r="H107" s="245"/>
      <c r="I107" s="245"/>
      <c r="J107" s="268">
        <v>0</v>
      </c>
    </row>
    <row r="108" spans="1:10">
      <c r="A108" s="244" t="s">
        <v>268</v>
      </c>
      <c r="B108" s="245" t="s">
        <v>371</v>
      </c>
      <c r="C108" s="245"/>
      <c r="D108" s="245"/>
      <c r="E108" s="245"/>
      <c r="F108" s="245"/>
      <c r="G108" s="245"/>
      <c r="H108" s="245"/>
      <c r="I108" s="245"/>
      <c r="J108" s="275">
        <v>0</v>
      </c>
    </row>
    <row r="109" ht="27.6" customHeight="1" spans="1:10">
      <c r="A109" s="244" t="s">
        <v>268</v>
      </c>
      <c r="B109" s="250" t="s">
        <v>372</v>
      </c>
      <c r="C109" s="250"/>
      <c r="D109" s="250"/>
      <c r="E109" s="250"/>
      <c r="F109" s="250"/>
      <c r="G109" s="250"/>
      <c r="H109" s="250"/>
      <c r="I109" s="250"/>
      <c r="J109" s="268">
        <v>0</v>
      </c>
    </row>
    <row r="110" ht="27.6" customHeight="1" spans="1:10">
      <c r="A110" s="244" t="s">
        <v>323</v>
      </c>
      <c r="B110" s="250" t="s">
        <v>373</v>
      </c>
      <c r="C110" s="250"/>
      <c r="D110" s="250"/>
      <c r="E110" s="250"/>
      <c r="F110" s="250"/>
      <c r="G110" s="250"/>
      <c r="H110" s="250"/>
      <c r="I110" s="250"/>
      <c r="J110" s="276">
        <f>'Aba Carregamento'!B91</f>
        <v>15.02</v>
      </c>
    </row>
    <row r="111" spans="1:10">
      <c r="A111" s="244" t="s">
        <v>325</v>
      </c>
      <c r="B111" s="245" t="s">
        <v>374</v>
      </c>
      <c r="C111" s="245"/>
      <c r="D111" s="245"/>
      <c r="E111" s="245"/>
      <c r="F111" s="245"/>
      <c r="G111" s="245"/>
      <c r="H111" s="245"/>
      <c r="I111" s="245"/>
      <c r="J111" s="277" t="s">
        <v>363</v>
      </c>
    </row>
    <row r="112" spans="1:10">
      <c r="A112" s="248" t="s">
        <v>329</v>
      </c>
      <c r="B112" s="248"/>
      <c r="C112" s="248"/>
      <c r="D112" s="248"/>
      <c r="E112" s="248"/>
      <c r="F112" s="248"/>
      <c r="G112" s="248"/>
      <c r="H112" s="248"/>
      <c r="I112" s="248"/>
      <c r="J112" s="262">
        <f>SUM(J99:J110)</f>
        <v>431.96</v>
      </c>
    </row>
    <row r="113" spans="1:10">
      <c r="A113" s="216"/>
      <c r="B113" s="216"/>
      <c r="C113" s="216"/>
      <c r="D113" s="216"/>
      <c r="E113" s="216"/>
      <c r="F113" s="216"/>
      <c r="G113" s="216"/>
      <c r="H113" s="216"/>
      <c r="I113" s="216"/>
      <c r="J113" s="216"/>
    </row>
    <row r="114" ht="37.35" customHeight="1" spans="1:10">
      <c r="A114" s="223" t="s">
        <v>375</v>
      </c>
      <c r="B114" s="223"/>
      <c r="C114" s="223"/>
      <c r="D114" s="223"/>
      <c r="E114" s="223"/>
      <c r="F114" s="223"/>
      <c r="G114" s="223"/>
      <c r="H114" s="223"/>
      <c r="I114" s="223"/>
      <c r="J114" s="223"/>
    </row>
    <row r="115" spans="1:10">
      <c r="A115" s="216"/>
      <c r="B115" s="216"/>
      <c r="C115" s="216"/>
      <c r="D115" s="216"/>
      <c r="E115" s="216"/>
      <c r="F115" s="216"/>
      <c r="G115" s="216"/>
      <c r="H115" s="216"/>
      <c r="I115" s="216"/>
      <c r="J115" s="216"/>
    </row>
    <row r="116" ht="16.15" customHeight="1" spans="1:10">
      <c r="A116" s="240" t="s">
        <v>376</v>
      </c>
      <c r="B116" s="240"/>
      <c r="C116" s="240"/>
      <c r="D116" s="240"/>
      <c r="E116" s="240"/>
      <c r="F116" s="240"/>
      <c r="G116" s="240"/>
      <c r="H116" s="240"/>
      <c r="I116" s="240"/>
      <c r="J116" s="240"/>
    </row>
    <row r="117" ht="16.15" customHeight="1" spans="1:10">
      <c r="A117" s="225">
        <v>2</v>
      </c>
      <c r="B117" s="225" t="s">
        <v>377</v>
      </c>
      <c r="C117" s="225"/>
      <c r="D117" s="225"/>
      <c r="E117" s="225"/>
      <c r="F117" s="225"/>
      <c r="G117" s="225"/>
      <c r="H117" s="225"/>
      <c r="I117" s="225"/>
      <c r="J117" s="225" t="s">
        <v>335</v>
      </c>
    </row>
    <row r="118" ht="14.65" customHeight="1" spans="1:10">
      <c r="A118" s="256" t="s">
        <v>333</v>
      </c>
      <c r="B118" s="250" t="s">
        <v>378</v>
      </c>
      <c r="C118" s="250"/>
      <c r="D118" s="250"/>
      <c r="E118" s="250"/>
      <c r="F118" s="250"/>
      <c r="G118" s="250"/>
      <c r="H118" s="250"/>
      <c r="I118" s="250"/>
      <c r="J118" s="278">
        <f>J79</f>
        <v>197.72</v>
      </c>
    </row>
    <row r="119" ht="14.65" customHeight="1" spans="1:10">
      <c r="A119" s="256" t="s">
        <v>342</v>
      </c>
      <c r="B119" s="250" t="s">
        <v>343</v>
      </c>
      <c r="C119" s="250"/>
      <c r="D119" s="250"/>
      <c r="E119" s="250"/>
      <c r="F119" s="250"/>
      <c r="G119" s="250"/>
      <c r="H119" s="250"/>
      <c r="I119" s="250"/>
      <c r="J119" s="278">
        <f>J93</f>
        <v>478.67</v>
      </c>
    </row>
    <row r="120" ht="14.65" customHeight="1" spans="1:10">
      <c r="A120" s="256" t="s">
        <v>359</v>
      </c>
      <c r="B120" s="250" t="s">
        <v>360</v>
      </c>
      <c r="C120" s="250"/>
      <c r="D120" s="250"/>
      <c r="E120" s="250"/>
      <c r="F120" s="250"/>
      <c r="G120" s="250"/>
      <c r="H120" s="250"/>
      <c r="I120" s="250"/>
      <c r="J120" s="278">
        <f>J112</f>
        <v>431.96</v>
      </c>
    </row>
    <row r="121" ht="14.65" customHeight="1" spans="1:10">
      <c r="A121" s="238" t="s">
        <v>338</v>
      </c>
      <c r="B121" s="238"/>
      <c r="C121" s="238"/>
      <c r="D121" s="238"/>
      <c r="E121" s="238"/>
      <c r="F121" s="238"/>
      <c r="G121" s="238"/>
      <c r="H121" s="238"/>
      <c r="I121" s="238"/>
      <c r="J121" s="279">
        <f>SUM(J118+J119+J120)</f>
        <v>1108.35</v>
      </c>
    </row>
    <row r="122" spans="1:10">
      <c r="A122" s="216"/>
      <c r="B122" s="216"/>
      <c r="C122" s="216"/>
      <c r="D122" s="216"/>
      <c r="E122" s="216"/>
      <c r="F122" s="216"/>
      <c r="G122" s="216"/>
      <c r="H122" s="216"/>
      <c r="I122" s="216"/>
      <c r="J122" s="216"/>
    </row>
    <row r="123" ht="16.15" customHeight="1" spans="1:10">
      <c r="A123" s="240" t="s">
        <v>379</v>
      </c>
      <c r="B123" s="240"/>
      <c r="C123" s="240"/>
      <c r="D123" s="240"/>
      <c r="E123" s="240"/>
      <c r="F123" s="240"/>
      <c r="G123" s="240"/>
      <c r="H123" s="240"/>
      <c r="I123" s="240"/>
      <c r="J123" s="240"/>
    </row>
    <row r="124" ht="15" spans="1:10">
      <c r="A124" s="249">
        <v>3</v>
      </c>
      <c r="B124" s="249" t="s">
        <v>380</v>
      </c>
      <c r="C124" s="249"/>
      <c r="D124" s="249"/>
      <c r="E124" s="249"/>
      <c r="F124" s="249"/>
      <c r="G124" s="249"/>
      <c r="H124" s="249"/>
      <c r="I124" s="249"/>
      <c r="J124" s="249" t="s">
        <v>381</v>
      </c>
    </row>
    <row r="125" ht="46.5" customHeight="1" spans="1:10">
      <c r="A125" s="244" t="s">
        <v>262</v>
      </c>
      <c r="B125" s="250" t="s">
        <v>382</v>
      </c>
      <c r="C125" s="250"/>
      <c r="D125" s="250"/>
      <c r="E125" s="250"/>
      <c r="F125" s="250"/>
      <c r="G125" s="250"/>
      <c r="H125" s="250"/>
      <c r="I125" s="250"/>
      <c r="J125" s="264">
        <f>ROUND((($J$68/12)+($J$75/12)+($J$68/12/12)+($J$76/12))*(30/30)*0.05,2)</f>
        <v>6.47</v>
      </c>
    </row>
    <row r="126" ht="14.65" customHeight="1" spans="1:10">
      <c r="A126" s="244" t="s">
        <v>264</v>
      </c>
      <c r="B126" s="250" t="s">
        <v>383</v>
      </c>
      <c r="C126" s="250"/>
      <c r="D126" s="250"/>
      <c r="E126" s="250"/>
      <c r="F126" s="250"/>
      <c r="G126" s="250"/>
      <c r="H126" s="250"/>
      <c r="I126" s="250"/>
      <c r="J126" s="264">
        <f>ROUND($J$125*I92,2)</f>
        <v>0.52</v>
      </c>
    </row>
    <row r="127" ht="27.6" customHeight="1" spans="1:10">
      <c r="A127" s="244" t="s">
        <v>266</v>
      </c>
      <c r="B127" s="250" t="s">
        <v>384</v>
      </c>
      <c r="C127" s="250"/>
      <c r="D127" s="250"/>
      <c r="E127" s="250"/>
      <c r="F127" s="250"/>
      <c r="G127" s="250"/>
      <c r="H127" s="250"/>
      <c r="I127" s="250"/>
      <c r="J127" s="264">
        <f>ROUND(0.08*0.4*($J$68+$J$75+$J$76+J138)*0.05,2)</f>
        <v>2.31</v>
      </c>
    </row>
    <row r="128" ht="27.6" customHeight="1" spans="1:10">
      <c r="A128" s="244" t="s">
        <v>268</v>
      </c>
      <c r="B128" s="250" t="s">
        <v>385</v>
      </c>
      <c r="C128" s="250"/>
      <c r="D128" s="250"/>
      <c r="E128" s="250"/>
      <c r="F128" s="250"/>
      <c r="G128" s="250"/>
      <c r="H128" s="250"/>
      <c r="I128" s="250"/>
      <c r="J128" s="264">
        <f>ROUND(((($J$68/30)*7)/$H$10)*0.9,2)</f>
        <v>13.66</v>
      </c>
    </row>
    <row r="129" ht="14.65" customHeight="1" spans="1:10">
      <c r="A129" s="244" t="s">
        <v>323</v>
      </c>
      <c r="B129" s="250" t="s">
        <v>386</v>
      </c>
      <c r="C129" s="250"/>
      <c r="D129" s="250"/>
      <c r="E129" s="250"/>
      <c r="F129" s="250"/>
      <c r="G129" s="250"/>
      <c r="H129" s="250"/>
      <c r="I129" s="250"/>
      <c r="J129" s="264">
        <f>ROUND($I$93*J128,2)</f>
        <v>5.03</v>
      </c>
    </row>
    <row r="130" ht="27.6" customHeight="1" spans="1:10">
      <c r="A130" s="244" t="s">
        <v>325</v>
      </c>
      <c r="B130" s="250" t="s">
        <v>387</v>
      </c>
      <c r="C130" s="250"/>
      <c r="D130" s="250"/>
      <c r="E130" s="250"/>
      <c r="F130" s="250"/>
      <c r="G130" s="250"/>
      <c r="H130" s="250"/>
      <c r="I130" s="250"/>
      <c r="J130" s="264">
        <f>ROUND(0.08*0.4*($J$68+$J$75+$J$76+J138)*0.9,2)</f>
        <v>41.62</v>
      </c>
    </row>
    <row r="131" spans="1:10">
      <c r="A131" s="248" t="s">
        <v>338</v>
      </c>
      <c r="B131" s="248"/>
      <c r="C131" s="248"/>
      <c r="D131" s="248"/>
      <c r="E131" s="248"/>
      <c r="F131" s="248"/>
      <c r="G131" s="248"/>
      <c r="H131" s="248"/>
      <c r="I131" s="248"/>
      <c r="J131" s="262">
        <f>SUM(J125:J130)</f>
        <v>69.61</v>
      </c>
    </row>
    <row r="132" ht="41" customHeight="1" spans="1:10">
      <c r="A132" s="389" t="s">
        <v>388</v>
      </c>
      <c r="B132" s="389"/>
      <c r="C132" s="389"/>
      <c r="D132" s="389"/>
      <c r="E132" s="389"/>
      <c r="F132" s="389"/>
      <c r="G132" s="389"/>
      <c r="H132" s="389"/>
      <c r="I132" s="389"/>
      <c r="J132" s="389"/>
    </row>
    <row r="133" ht="16.15" customHeight="1" spans="1:10">
      <c r="A133" s="240" t="s">
        <v>389</v>
      </c>
      <c r="B133" s="240"/>
      <c r="C133" s="240"/>
      <c r="D133" s="240"/>
      <c r="E133" s="240"/>
      <c r="F133" s="240"/>
      <c r="G133" s="240"/>
      <c r="H133" s="240"/>
      <c r="I133" s="240"/>
      <c r="J133" s="240"/>
    </row>
    <row r="134" ht="37.35" customHeight="1" spans="1:10">
      <c r="A134" s="223" t="s">
        <v>390</v>
      </c>
      <c r="B134" s="223"/>
      <c r="C134" s="223"/>
      <c r="D134" s="223"/>
      <c r="E134" s="223"/>
      <c r="F134" s="223"/>
      <c r="G134" s="223"/>
      <c r="H134" s="223"/>
      <c r="I134" s="223"/>
      <c r="J134" s="223"/>
    </row>
    <row r="135" ht="42.4" customHeight="1" spans="1:10">
      <c r="A135" s="281" t="s">
        <v>391</v>
      </c>
      <c r="B135" s="281"/>
      <c r="C135" s="281"/>
      <c r="D135" s="281"/>
      <c r="E135" s="281"/>
      <c r="F135" s="281"/>
      <c r="G135" s="281"/>
      <c r="H135" s="281"/>
      <c r="I135" s="281"/>
      <c r="J135" s="288">
        <f>ROUND(J68/12,2)+J68+J75+J76</f>
        <v>1553.68</v>
      </c>
    </row>
    <row r="136" ht="16.15" customHeight="1" spans="1:10">
      <c r="A136" s="240" t="s">
        <v>392</v>
      </c>
      <c r="B136" s="240"/>
      <c r="C136" s="240"/>
      <c r="D136" s="240"/>
      <c r="E136" s="240"/>
      <c r="F136" s="240"/>
      <c r="G136" s="240"/>
      <c r="H136" s="240"/>
      <c r="I136" s="240"/>
      <c r="J136" s="240"/>
    </row>
    <row r="137" ht="15" spans="1:10">
      <c r="A137" s="282" t="s">
        <v>393</v>
      </c>
      <c r="B137" s="249" t="s">
        <v>394</v>
      </c>
      <c r="C137" s="249"/>
      <c r="D137" s="249"/>
      <c r="E137" s="249"/>
      <c r="F137" s="249"/>
      <c r="G137" s="249"/>
      <c r="H137" s="249"/>
      <c r="I137" s="249"/>
      <c r="J137" s="282" t="s">
        <v>335</v>
      </c>
    </row>
    <row r="138" spans="1:10">
      <c r="A138" s="247" t="s">
        <v>262</v>
      </c>
      <c r="B138" s="245" t="s">
        <v>395</v>
      </c>
      <c r="C138" s="245"/>
      <c r="D138" s="245"/>
      <c r="E138" s="245"/>
      <c r="F138" s="245"/>
      <c r="G138" s="245"/>
      <c r="H138" s="245"/>
      <c r="I138" s="245"/>
      <c r="J138" s="264">
        <v>0</v>
      </c>
    </row>
    <row r="139" spans="1:10">
      <c r="A139" s="247" t="s">
        <v>264</v>
      </c>
      <c r="B139" s="245" t="s">
        <v>396</v>
      </c>
      <c r="C139" s="245"/>
      <c r="D139" s="245"/>
      <c r="E139" s="245"/>
      <c r="F139" s="245"/>
      <c r="G139" s="245"/>
      <c r="H139" s="245"/>
      <c r="I139" s="245"/>
      <c r="J139" s="289">
        <f>ROUND((($J$135/30)*2.96)/12,2)</f>
        <v>12.77</v>
      </c>
    </row>
    <row r="140" spans="1:10">
      <c r="A140" s="247" t="s">
        <v>266</v>
      </c>
      <c r="B140" s="245" t="s">
        <v>397</v>
      </c>
      <c r="C140" s="245"/>
      <c r="D140" s="245"/>
      <c r="E140" s="245"/>
      <c r="F140" s="245"/>
      <c r="G140" s="245"/>
      <c r="H140" s="245"/>
      <c r="I140" s="245"/>
      <c r="J140" s="289">
        <f>ROUND((($J$135/30)*5)/12*0.015,2)</f>
        <v>0.32</v>
      </c>
    </row>
    <row r="141" spans="1:10">
      <c r="A141" s="247" t="s">
        <v>268</v>
      </c>
      <c r="B141" s="245" t="s">
        <v>398</v>
      </c>
      <c r="C141" s="245"/>
      <c r="D141" s="245"/>
      <c r="E141" s="245"/>
      <c r="F141" s="245"/>
      <c r="G141" s="245"/>
      <c r="H141" s="245"/>
      <c r="I141" s="245"/>
      <c r="J141" s="261">
        <f>ROUND(((($J$135/30)*15)/12)*0.0078,2)</f>
        <v>0.5</v>
      </c>
    </row>
    <row r="142" spans="1:10">
      <c r="A142" s="247" t="s">
        <v>323</v>
      </c>
      <c r="B142" s="245" t="s">
        <v>399</v>
      </c>
      <c r="C142" s="245"/>
      <c r="D142" s="245"/>
      <c r="E142" s="245"/>
      <c r="F142" s="245"/>
      <c r="G142" s="245"/>
      <c r="H142" s="245"/>
      <c r="I142" s="245"/>
      <c r="J142" s="264">
        <f>ROUND(((($J$68+$J$68/3)*4/12)/12)*0.02,2)</f>
        <v>0.96</v>
      </c>
    </row>
    <row r="143" spans="1:10">
      <c r="A143" s="283" t="s">
        <v>325</v>
      </c>
      <c r="B143" s="284" t="s">
        <v>400</v>
      </c>
      <c r="C143" s="284"/>
      <c r="D143" s="284"/>
      <c r="E143" s="284"/>
      <c r="F143" s="284"/>
      <c r="G143" s="284"/>
      <c r="H143" s="284"/>
      <c r="I143" s="284"/>
      <c r="J143" s="261">
        <f>ROUND(((($J$135/30)*5)/12),2)</f>
        <v>21.58</v>
      </c>
    </row>
    <row r="144" spans="1:10">
      <c r="A144" s="248" t="s">
        <v>338</v>
      </c>
      <c r="B144" s="248"/>
      <c r="C144" s="248"/>
      <c r="D144" s="248"/>
      <c r="E144" s="248"/>
      <c r="F144" s="248"/>
      <c r="G144" s="248"/>
      <c r="H144" s="248"/>
      <c r="I144" s="248"/>
      <c r="J144" s="290">
        <f>SUM(J138:J143)</f>
        <v>36.13</v>
      </c>
    </row>
    <row r="145" spans="1:10">
      <c r="A145" s="247" t="s">
        <v>327</v>
      </c>
      <c r="B145" s="245" t="s">
        <v>401</v>
      </c>
      <c r="C145" s="245"/>
      <c r="D145" s="245"/>
      <c r="E145" s="245"/>
      <c r="F145" s="245"/>
      <c r="G145" s="245"/>
      <c r="H145" s="245"/>
      <c r="I145" s="245"/>
      <c r="J145" s="261">
        <f>ROUND(I93*J144,2)</f>
        <v>13.3</v>
      </c>
    </row>
    <row r="146" spans="1:10">
      <c r="A146" s="248" t="s">
        <v>338</v>
      </c>
      <c r="B146" s="248"/>
      <c r="C146" s="248"/>
      <c r="D146" s="248"/>
      <c r="E146" s="248"/>
      <c r="F146" s="248"/>
      <c r="G146" s="248"/>
      <c r="H146" s="248"/>
      <c r="I146" s="248"/>
      <c r="J146" s="262">
        <f>SUM(J144:J145)</f>
        <v>49.43</v>
      </c>
    </row>
    <row r="147" ht="66" customHeight="1" spans="1:10">
      <c r="A147" s="223" t="s">
        <v>402</v>
      </c>
      <c r="B147" s="223"/>
      <c r="C147" s="223"/>
      <c r="D147" s="223"/>
      <c r="E147" s="223"/>
      <c r="F147" s="223"/>
      <c r="G147" s="223"/>
      <c r="H147" s="223"/>
      <c r="I147" s="223"/>
      <c r="J147" s="223"/>
    </row>
    <row r="148" spans="1:10">
      <c r="A148" s="220"/>
      <c r="B148" s="220"/>
      <c r="C148" s="220"/>
      <c r="D148" s="220"/>
      <c r="E148" s="220"/>
      <c r="F148" s="220"/>
      <c r="G148" s="220"/>
      <c r="H148" s="220"/>
      <c r="I148" s="220"/>
      <c r="J148" s="220"/>
    </row>
    <row r="149" ht="16.15" customHeight="1" spans="1:10">
      <c r="A149" s="240" t="s">
        <v>403</v>
      </c>
      <c r="B149" s="240"/>
      <c r="C149" s="240"/>
      <c r="D149" s="240"/>
      <c r="E149" s="240"/>
      <c r="F149" s="240"/>
      <c r="G149" s="240"/>
      <c r="H149" s="240"/>
      <c r="I149" s="240"/>
      <c r="J149" s="240"/>
    </row>
    <row r="150" ht="15" spans="1:10">
      <c r="A150" s="249" t="s">
        <v>404</v>
      </c>
      <c r="B150" s="249" t="s">
        <v>405</v>
      </c>
      <c r="C150" s="249"/>
      <c r="D150" s="249"/>
      <c r="E150" s="249"/>
      <c r="F150" s="249"/>
      <c r="G150" s="249"/>
      <c r="H150" s="249"/>
      <c r="I150" s="249"/>
      <c r="J150" s="291" t="s">
        <v>335</v>
      </c>
    </row>
    <row r="151" spans="1:10">
      <c r="A151" s="244" t="s">
        <v>262</v>
      </c>
      <c r="B151" s="245" t="s">
        <v>406</v>
      </c>
      <c r="C151" s="245"/>
      <c r="D151" s="245"/>
      <c r="E151" s="245"/>
      <c r="F151" s="245"/>
      <c r="G151" s="245"/>
      <c r="H151" s="245"/>
      <c r="I151" s="245"/>
      <c r="J151" s="264">
        <v>0</v>
      </c>
    </row>
    <row r="152" spans="1:10">
      <c r="A152" s="260" t="s">
        <v>338</v>
      </c>
      <c r="B152" s="260"/>
      <c r="C152" s="260"/>
      <c r="D152" s="260"/>
      <c r="E152" s="260"/>
      <c r="F152" s="260"/>
      <c r="G152" s="260"/>
      <c r="H152" s="260"/>
      <c r="I152" s="260"/>
      <c r="J152" s="264">
        <v>0</v>
      </c>
    </row>
    <row r="153" spans="1:10">
      <c r="A153" s="247" t="s">
        <v>264</v>
      </c>
      <c r="B153" s="245" t="s">
        <v>407</v>
      </c>
      <c r="C153" s="245"/>
      <c r="D153" s="245"/>
      <c r="E153" s="245"/>
      <c r="F153" s="245"/>
      <c r="G153" s="245"/>
      <c r="H153" s="245"/>
      <c r="I153" s="245"/>
      <c r="J153" s="261">
        <f>ROUND(I93*J152,2)</f>
        <v>0</v>
      </c>
    </row>
    <row r="154" spans="1:10">
      <c r="A154" s="248" t="s">
        <v>338</v>
      </c>
      <c r="B154" s="248"/>
      <c r="C154" s="248"/>
      <c r="D154" s="248"/>
      <c r="E154" s="248"/>
      <c r="F154" s="248"/>
      <c r="G154" s="248"/>
      <c r="H154" s="248"/>
      <c r="I154" s="248"/>
      <c r="J154" s="262">
        <f>SUM(J152:J153)</f>
        <v>0</v>
      </c>
    </row>
    <row r="155" spans="1:10">
      <c r="A155" s="220"/>
      <c r="B155" s="220"/>
      <c r="C155" s="220"/>
      <c r="D155" s="220"/>
      <c r="E155" s="220"/>
      <c r="F155" s="220"/>
      <c r="G155" s="220"/>
      <c r="H155" s="220"/>
      <c r="I155" s="220"/>
      <c r="J155" s="220"/>
    </row>
    <row r="156" ht="25.9" customHeight="1" spans="1:10">
      <c r="A156" s="223" t="s">
        <v>408</v>
      </c>
      <c r="B156" s="223"/>
      <c r="C156" s="223"/>
      <c r="D156" s="223"/>
      <c r="E156" s="223"/>
      <c r="F156" s="223"/>
      <c r="G156" s="223"/>
      <c r="H156" s="223"/>
      <c r="I156" s="223"/>
      <c r="J156" s="223"/>
    </row>
    <row r="157" spans="1:10">
      <c r="A157" s="220"/>
      <c r="B157" s="220"/>
      <c r="C157" s="220"/>
      <c r="D157" s="220"/>
      <c r="E157" s="220"/>
      <c r="F157" s="220"/>
      <c r="G157" s="220"/>
      <c r="H157" s="220"/>
      <c r="I157" s="220"/>
      <c r="J157" s="220"/>
    </row>
    <row r="158" ht="16.15" customHeight="1" spans="1:10">
      <c r="A158" s="240" t="s">
        <v>409</v>
      </c>
      <c r="B158" s="240"/>
      <c r="C158" s="240"/>
      <c r="D158" s="240"/>
      <c r="E158" s="240"/>
      <c r="F158" s="240"/>
      <c r="G158" s="240"/>
      <c r="H158" s="240"/>
      <c r="I158" s="240"/>
      <c r="J158" s="240"/>
    </row>
    <row r="159" ht="16.35" customHeight="1" spans="1:10">
      <c r="A159" s="225">
        <v>4</v>
      </c>
      <c r="B159" s="225" t="s">
        <v>410</v>
      </c>
      <c r="C159" s="225"/>
      <c r="D159" s="225"/>
      <c r="E159" s="225"/>
      <c r="F159" s="225"/>
      <c r="G159" s="225"/>
      <c r="H159" s="225"/>
      <c r="I159" s="225"/>
      <c r="J159" s="291" t="s">
        <v>335</v>
      </c>
    </row>
    <row r="160" ht="14.65" customHeight="1" spans="1:10">
      <c r="A160" s="256" t="s">
        <v>393</v>
      </c>
      <c r="B160" s="250" t="s">
        <v>394</v>
      </c>
      <c r="C160" s="250"/>
      <c r="D160" s="250"/>
      <c r="E160" s="250"/>
      <c r="F160" s="250"/>
      <c r="G160" s="250"/>
      <c r="H160" s="250"/>
      <c r="I160" s="250"/>
      <c r="J160" s="264">
        <f>J146</f>
        <v>49.43</v>
      </c>
    </row>
    <row r="161" ht="14.65" customHeight="1" spans="1:10">
      <c r="A161" s="256" t="s">
        <v>411</v>
      </c>
      <c r="B161" s="250" t="s">
        <v>405</v>
      </c>
      <c r="C161" s="250"/>
      <c r="D161" s="250"/>
      <c r="E161" s="250"/>
      <c r="F161" s="250"/>
      <c r="G161" s="250"/>
      <c r="H161" s="250"/>
      <c r="I161" s="250"/>
      <c r="J161" s="264">
        <f>J154</f>
        <v>0</v>
      </c>
    </row>
    <row r="162" ht="14.65" customHeight="1" spans="1:10">
      <c r="A162" s="238" t="s">
        <v>338</v>
      </c>
      <c r="B162" s="238"/>
      <c r="C162" s="238"/>
      <c r="D162" s="238"/>
      <c r="E162" s="238"/>
      <c r="F162" s="238"/>
      <c r="G162" s="238"/>
      <c r="H162" s="238"/>
      <c r="I162" s="238"/>
      <c r="J162" s="262">
        <f>SUM(J160+J161)</f>
        <v>49.43</v>
      </c>
    </row>
    <row r="163" spans="1:10">
      <c r="A163" s="216"/>
      <c r="B163" s="216"/>
      <c r="C163" s="216"/>
      <c r="D163" s="216"/>
      <c r="E163" s="216"/>
      <c r="F163" s="216"/>
      <c r="G163" s="216"/>
      <c r="H163" s="216"/>
      <c r="I163" s="216"/>
      <c r="J163" s="216"/>
    </row>
    <row r="164" ht="16.15" customHeight="1" spans="1:10">
      <c r="A164" s="240" t="s">
        <v>412</v>
      </c>
      <c r="B164" s="240"/>
      <c r="C164" s="240"/>
      <c r="D164" s="240"/>
      <c r="E164" s="240"/>
      <c r="F164" s="240"/>
      <c r="G164" s="240"/>
      <c r="H164" s="240"/>
      <c r="I164" s="240"/>
      <c r="J164" s="240"/>
    </row>
    <row r="165" ht="15" spans="1:10">
      <c r="A165" s="249">
        <v>5</v>
      </c>
      <c r="B165" s="249" t="s">
        <v>413</v>
      </c>
      <c r="C165" s="249"/>
      <c r="D165" s="249"/>
      <c r="E165" s="249"/>
      <c r="F165" s="249"/>
      <c r="G165" s="249"/>
      <c r="H165" s="249"/>
      <c r="I165" s="249"/>
      <c r="J165" s="249" t="s">
        <v>335</v>
      </c>
    </row>
    <row r="166" spans="1:10">
      <c r="A166" s="244" t="s">
        <v>262</v>
      </c>
      <c r="B166" s="245" t="s">
        <v>414</v>
      </c>
      <c r="C166" s="245"/>
      <c r="D166" s="245"/>
      <c r="E166" s="245"/>
      <c r="F166" s="245"/>
      <c r="G166" s="245"/>
      <c r="H166" s="245"/>
      <c r="I166" s="245"/>
      <c r="J166" s="292">
        <f>Insumos!F116</f>
        <v>63.0483333333333</v>
      </c>
    </row>
    <row r="167" spans="1:10">
      <c r="A167" s="244" t="s">
        <v>264</v>
      </c>
      <c r="B167" s="245" t="s">
        <v>415</v>
      </c>
      <c r="C167" s="245"/>
      <c r="D167" s="245"/>
      <c r="E167" s="245"/>
      <c r="F167" s="245"/>
      <c r="G167" s="245"/>
      <c r="H167" s="245"/>
      <c r="I167" s="245"/>
      <c r="J167" s="276">
        <f>Insumos!F112</f>
        <v>918.473405447845</v>
      </c>
    </row>
    <row r="168" spans="1:10">
      <c r="A168" s="244" t="s">
        <v>266</v>
      </c>
      <c r="B168" s="245" t="s">
        <v>416</v>
      </c>
      <c r="C168" s="245"/>
      <c r="D168" s="245"/>
      <c r="E168" s="245"/>
      <c r="F168" s="245"/>
      <c r="G168" s="245"/>
      <c r="H168" s="245"/>
      <c r="I168" s="245"/>
      <c r="J168" s="276">
        <f>Insumos!F114</f>
        <v>55.1116445148326</v>
      </c>
    </row>
    <row r="169" spans="1:10">
      <c r="A169" s="244" t="s">
        <v>268</v>
      </c>
      <c r="B169" s="245" t="s">
        <v>417</v>
      </c>
      <c r="C169" s="245"/>
      <c r="D169" s="245"/>
      <c r="E169" s="245"/>
      <c r="F169" s="245"/>
      <c r="G169" s="245"/>
      <c r="H169" s="245"/>
      <c r="I169" s="245"/>
      <c r="J169" s="275" t="s">
        <v>418</v>
      </c>
    </row>
    <row r="170" spans="1:10">
      <c r="A170" s="248" t="s">
        <v>329</v>
      </c>
      <c r="B170" s="248"/>
      <c r="C170" s="248"/>
      <c r="D170" s="248"/>
      <c r="E170" s="248"/>
      <c r="F170" s="248"/>
      <c r="G170" s="248"/>
      <c r="H170" s="248"/>
      <c r="I170" s="248"/>
      <c r="J170" s="293">
        <f>SUM(J166:J169)</f>
        <v>1036.63338329601</v>
      </c>
    </row>
    <row r="171" spans="1:10">
      <c r="A171" s="216"/>
      <c r="B171" s="216"/>
      <c r="C171" s="216"/>
      <c r="D171" s="216"/>
      <c r="E171" s="216"/>
      <c r="F171" s="216"/>
      <c r="G171" s="216"/>
      <c r="H171" s="216"/>
      <c r="I171" s="216"/>
      <c r="J171" s="216"/>
    </row>
    <row r="172" ht="14.65" customHeight="1" spans="1:10">
      <c r="A172" s="223" t="s">
        <v>419</v>
      </c>
      <c r="B172" s="223"/>
      <c r="C172" s="223"/>
      <c r="D172" s="223"/>
      <c r="E172" s="223"/>
      <c r="F172" s="223"/>
      <c r="G172" s="223"/>
      <c r="H172" s="223"/>
      <c r="I172" s="223"/>
      <c r="J172" s="223"/>
    </row>
    <row r="173" spans="1:10">
      <c r="A173" s="216"/>
      <c r="B173" s="216"/>
      <c r="C173" s="216"/>
      <c r="D173" s="216"/>
      <c r="E173" s="216"/>
      <c r="F173" s="216"/>
      <c r="G173" s="216"/>
      <c r="H173" s="216"/>
      <c r="I173" s="216"/>
      <c r="J173" s="216"/>
    </row>
    <row r="174" ht="16.15" customHeight="1" spans="1:10">
      <c r="A174" s="240" t="s">
        <v>420</v>
      </c>
      <c r="B174" s="240"/>
      <c r="C174" s="240"/>
      <c r="D174" s="240"/>
      <c r="E174" s="240"/>
      <c r="F174" s="240"/>
      <c r="G174" s="240"/>
      <c r="H174" s="240"/>
      <c r="I174" s="240"/>
      <c r="J174" s="240"/>
    </row>
    <row r="175" ht="30" spans="1:10">
      <c r="A175" s="249">
        <v>6</v>
      </c>
      <c r="B175" s="249" t="s">
        <v>421</v>
      </c>
      <c r="C175" s="249"/>
      <c r="D175" s="249"/>
      <c r="E175" s="249"/>
      <c r="F175" s="249"/>
      <c r="G175" s="249"/>
      <c r="H175" s="249"/>
      <c r="I175" s="225" t="s">
        <v>344</v>
      </c>
      <c r="J175" s="294" t="s">
        <v>422</v>
      </c>
    </row>
    <row r="176" ht="51" customHeight="1" spans="1:10">
      <c r="A176" s="285" t="s">
        <v>423</v>
      </c>
      <c r="B176" s="285"/>
      <c r="C176" s="285"/>
      <c r="D176" s="285"/>
      <c r="E176" s="285"/>
      <c r="F176" s="285"/>
      <c r="G176" s="285"/>
      <c r="H176" s="285"/>
      <c r="I176" s="295" t="s">
        <v>363</v>
      </c>
      <c r="J176" s="296">
        <f>SUM(J68+J121+J131+J162+J170)</f>
        <v>3564.77338329601</v>
      </c>
    </row>
    <row r="177" ht="15.75" spans="1:10">
      <c r="A177" s="286" t="s">
        <v>262</v>
      </c>
      <c r="B177" s="287" t="s">
        <v>424</v>
      </c>
      <c r="C177" s="287"/>
      <c r="D177" s="287"/>
      <c r="E177" s="287"/>
      <c r="F177" s="287"/>
      <c r="G177" s="287"/>
      <c r="H177" s="287"/>
      <c r="I177" s="297">
        <f>'Aba Carregamento'!B97</f>
        <v>0.05</v>
      </c>
      <c r="J177" s="264">
        <f>ROUND(I177*J176,2)</f>
        <v>178.24</v>
      </c>
    </row>
    <row r="178" ht="51" customHeight="1" spans="1:10">
      <c r="A178" s="285" t="s">
        <v>425</v>
      </c>
      <c r="B178" s="285"/>
      <c r="C178" s="285"/>
      <c r="D178" s="285"/>
      <c r="E178" s="285"/>
      <c r="F178" s="285"/>
      <c r="G178" s="285"/>
      <c r="H178" s="285"/>
      <c r="I178" s="298" t="s">
        <v>363</v>
      </c>
      <c r="J178" s="296">
        <f>SUM(J68+J121+J131+J162+J170+J177)</f>
        <v>3743.01338329601</v>
      </c>
    </row>
    <row r="179" ht="15.75" spans="1:10">
      <c r="A179" s="286" t="s">
        <v>264</v>
      </c>
      <c r="B179" s="287" t="s">
        <v>80</v>
      </c>
      <c r="C179" s="287"/>
      <c r="D179" s="287"/>
      <c r="E179" s="287"/>
      <c r="F179" s="287"/>
      <c r="G179" s="287"/>
      <c r="H179" s="287"/>
      <c r="I179" s="297">
        <f>'Aba Carregamento'!B98</f>
        <v>0.061</v>
      </c>
      <c r="J179" s="264">
        <f>ROUND(I179*J178,2)</f>
        <v>228.32</v>
      </c>
    </row>
    <row r="180" ht="51" customHeight="1" spans="1:10">
      <c r="A180" s="285" t="s">
        <v>426</v>
      </c>
      <c r="B180" s="285"/>
      <c r="C180" s="285"/>
      <c r="D180" s="285"/>
      <c r="E180" s="285"/>
      <c r="F180" s="285"/>
      <c r="G180" s="285"/>
      <c r="H180" s="285"/>
      <c r="I180" s="298" t="s">
        <v>363</v>
      </c>
      <c r="J180" s="296">
        <f>SUM(J68+J121+J131+J162+J170+J177+J179)</f>
        <v>3971.33338329601</v>
      </c>
    </row>
    <row r="181" ht="15.75" spans="1:13">
      <c r="A181" s="286" t="s">
        <v>266</v>
      </c>
      <c r="B181" s="287" t="s">
        <v>427</v>
      </c>
      <c r="C181" s="287"/>
      <c r="D181" s="287"/>
      <c r="E181" s="287"/>
      <c r="F181" s="287"/>
      <c r="G181" s="287"/>
      <c r="H181" s="287"/>
      <c r="I181" s="299" t="s">
        <v>363</v>
      </c>
      <c r="J181" s="300" t="s">
        <v>363</v>
      </c>
      <c r="L181" s="301" t="s">
        <v>428</v>
      </c>
      <c r="M181" s="301"/>
    </row>
    <row r="182" spans="1:14">
      <c r="A182" s="244"/>
      <c r="B182" s="245" t="s">
        <v>429</v>
      </c>
      <c r="C182" s="245"/>
      <c r="D182" s="245"/>
      <c r="E182" s="245"/>
      <c r="F182" s="245"/>
      <c r="G182" s="245"/>
      <c r="H182" s="245"/>
      <c r="I182" s="299" t="s">
        <v>363</v>
      </c>
      <c r="J182" s="300" t="s">
        <v>363</v>
      </c>
      <c r="K182" s="302"/>
      <c r="L182" s="303" t="s">
        <v>430</v>
      </c>
      <c r="M182" s="303" t="s">
        <v>431</v>
      </c>
      <c r="N182" s="304"/>
    </row>
    <row r="183" spans="1:17">
      <c r="A183" s="244"/>
      <c r="B183" s="245" t="s">
        <v>432</v>
      </c>
      <c r="C183" s="245"/>
      <c r="D183" s="245"/>
      <c r="E183" s="245"/>
      <c r="F183" s="245"/>
      <c r="G183" s="245"/>
      <c r="H183" s="245"/>
      <c r="I183" s="305">
        <v>0.03</v>
      </c>
      <c r="J183" s="264">
        <f>ROUND(($J$180/(1-$I$192))*I183,2)</f>
        <v>126.95</v>
      </c>
      <c r="K183" s="302" t="s">
        <v>433</v>
      </c>
      <c r="L183" s="306">
        <v>0.03</v>
      </c>
      <c r="M183" s="306">
        <v>0.076</v>
      </c>
      <c r="N183" s="304">
        <f>IF('Aba Carregamento'!B66&lt;&gt;"",'Valor posto 20%'!L183,0)</f>
        <v>0</v>
      </c>
      <c r="O183" s="304">
        <f>IF('Aba Carregamento'!B67&lt;&gt;"",'Valor posto 20%'!M183,0)</f>
        <v>0.076</v>
      </c>
      <c r="P183" s="304">
        <f>N183+O183</f>
        <v>0.076</v>
      </c>
      <c r="Q183" s="304" t="s">
        <v>434</v>
      </c>
    </row>
    <row r="184" spans="1:17">
      <c r="A184" s="244"/>
      <c r="B184" s="245" t="s">
        <v>435</v>
      </c>
      <c r="C184" s="245"/>
      <c r="D184" s="245"/>
      <c r="E184" s="245"/>
      <c r="F184" s="245"/>
      <c r="G184" s="245"/>
      <c r="H184" s="245"/>
      <c r="I184" s="305">
        <v>0.0065</v>
      </c>
      <c r="J184" s="264">
        <f>ROUND(($J$180/(1-$I$192))*I184,2)</f>
        <v>27.51</v>
      </c>
      <c r="K184" s="302" t="s">
        <v>436</v>
      </c>
      <c r="L184" s="306">
        <v>0.0065</v>
      </c>
      <c r="M184" s="306">
        <v>0.0165</v>
      </c>
      <c r="N184" s="304">
        <f>IF('Aba Carregamento'!B66&lt;&gt;"",'Valor posto 20%'!L184,0)</f>
        <v>0</v>
      </c>
      <c r="O184" s="304">
        <f>IF('Aba Carregamento'!B67&lt;&gt;"",'Valor posto 20%'!M184,0)</f>
        <v>0.0165</v>
      </c>
      <c r="P184" s="304">
        <f>N184+O184</f>
        <v>0.0165</v>
      </c>
      <c r="Q184" s="304" t="s">
        <v>434</v>
      </c>
    </row>
    <row r="185" ht="27.6" customHeight="1" spans="1:17">
      <c r="A185" s="244"/>
      <c r="B185" s="250" t="s">
        <v>437</v>
      </c>
      <c r="C185" s="250"/>
      <c r="D185" s="250"/>
      <c r="E185" s="250"/>
      <c r="F185" s="250"/>
      <c r="G185" s="250"/>
      <c r="H185" s="250"/>
      <c r="I185" s="307" t="s">
        <v>363</v>
      </c>
      <c r="J185" s="300" t="s">
        <v>363</v>
      </c>
      <c r="K185" s="308"/>
      <c r="N185" s="304"/>
      <c r="O185" s="304"/>
      <c r="P185" s="304"/>
      <c r="Q185" s="304"/>
    </row>
    <row r="186" ht="27.6" customHeight="1" spans="1:10">
      <c r="A186" s="244"/>
      <c r="B186" s="250" t="s">
        <v>438</v>
      </c>
      <c r="C186" s="250"/>
      <c r="D186" s="250"/>
      <c r="E186" s="250"/>
      <c r="F186" s="250"/>
      <c r="G186" s="250"/>
      <c r="H186" s="250"/>
      <c r="I186" s="307" t="s">
        <v>363</v>
      </c>
      <c r="J186" s="300" t="s">
        <v>363</v>
      </c>
    </row>
    <row r="187" spans="1:10">
      <c r="A187" s="244"/>
      <c r="B187" s="245" t="s">
        <v>439</v>
      </c>
      <c r="C187" s="245"/>
      <c r="D187" s="245"/>
      <c r="E187" s="245"/>
      <c r="F187" s="245"/>
      <c r="G187" s="245"/>
      <c r="H187" s="245"/>
      <c r="I187" s="307" t="s">
        <v>363</v>
      </c>
      <c r="J187" s="300" t="s">
        <v>363</v>
      </c>
    </row>
    <row r="188" spans="1:10">
      <c r="A188" s="244"/>
      <c r="B188" s="245" t="s">
        <v>440</v>
      </c>
      <c r="C188" s="245"/>
      <c r="D188" s="245"/>
      <c r="E188" s="245"/>
      <c r="F188" s="245"/>
      <c r="G188" s="245"/>
      <c r="H188" s="245"/>
      <c r="I188" s="307" t="s">
        <v>363</v>
      </c>
      <c r="J188" s="300" t="s">
        <v>363</v>
      </c>
    </row>
    <row r="189" spans="1:10">
      <c r="A189" s="244"/>
      <c r="B189" s="245" t="s">
        <v>441</v>
      </c>
      <c r="C189" s="245"/>
      <c r="D189" s="245"/>
      <c r="E189" s="245"/>
      <c r="F189" s="245"/>
      <c r="G189" s="245"/>
      <c r="H189" s="245"/>
      <c r="I189" s="309">
        <f>'Aba Carregamento'!B99</f>
        <v>0.025</v>
      </c>
      <c r="J189" s="264">
        <f>ROUND(($J$180/(1-$I$192))*I189,2)</f>
        <v>105.79</v>
      </c>
    </row>
    <row r="190" spans="1:10">
      <c r="A190" s="248" t="s">
        <v>338</v>
      </c>
      <c r="B190" s="248"/>
      <c r="C190" s="248"/>
      <c r="D190" s="248"/>
      <c r="E190" s="248"/>
      <c r="F190" s="248"/>
      <c r="G190" s="248"/>
      <c r="H190" s="248"/>
      <c r="I190" s="248"/>
      <c r="J190" s="262">
        <f>SUM(J177+J179+J183+J184+J189)</f>
        <v>666.81</v>
      </c>
    </row>
    <row r="191" spans="1:10">
      <c r="A191" s="216"/>
      <c r="B191" s="216"/>
      <c r="C191" s="216"/>
      <c r="D191" s="216"/>
      <c r="E191" s="216"/>
      <c r="F191" s="216"/>
      <c r="G191" s="216"/>
      <c r="H191" s="216"/>
      <c r="I191" s="216"/>
      <c r="J191" s="216"/>
    </row>
    <row r="192" ht="14.65" customHeight="1" spans="1:10">
      <c r="A192" s="222" t="s">
        <v>442</v>
      </c>
      <c r="B192" s="222"/>
      <c r="C192" s="222"/>
      <c r="D192" s="222"/>
      <c r="E192" s="222"/>
      <c r="F192" s="222"/>
      <c r="G192" s="222"/>
      <c r="H192" s="222"/>
      <c r="I192" s="310">
        <f>SUM(I183:I189)</f>
        <v>0.0615</v>
      </c>
      <c r="J192" s="311">
        <f>SUM(J183:J189)</f>
        <v>260.25</v>
      </c>
    </row>
    <row r="193" spans="1:10">
      <c r="A193" s="312" t="s">
        <v>443</v>
      </c>
      <c r="B193" s="312"/>
      <c r="C193" s="312"/>
      <c r="D193" s="313" t="s">
        <v>444</v>
      </c>
      <c r="E193" s="313"/>
      <c r="F193" s="313"/>
      <c r="G193" s="313"/>
      <c r="H193" s="313"/>
      <c r="I193" s="313"/>
      <c r="J193" s="313"/>
    </row>
    <row r="194" spans="1:10">
      <c r="A194" s="312"/>
      <c r="B194" s="312"/>
      <c r="C194" s="312"/>
      <c r="D194" s="313" t="s">
        <v>445</v>
      </c>
      <c r="E194" s="313"/>
      <c r="F194" s="313"/>
      <c r="G194" s="313"/>
      <c r="H194" s="313"/>
      <c r="I194" s="313"/>
      <c r="J194" s="313"/>
    </row>
    <row r="195" spans="1:10">
      <c r="A195" s="312"/>
      <c r="B195" s="312"/>
      <c r="C195" s="312"/>
      <c r="D195" s="313" t="s">
        <v>446</v>
      </c>
      <c r="E195" s="313"/>
      <c r="F195" s="313"/>
      <c r="G195" s="313"/>
      <c r="H195" s="313"/>
      <c r="I195" s="313"/>
      <c r="J195" s="313"/>
    </row>
    <row r="196" spans="1:10">
      <c r="A196" s="216"/>
      <c r="B196" s="216"/>
      <c r="C196" s="216"/>
      <c r="D196" s="216"/>
      <c r="E196" s="216"/>
      <c r="F196" s="216"/>
      <c r="G196" s="216"/>
      <c r="H196" s="216"/>
      <c r="I196" s="216"/>
      <c r="J196" s="216"/>
    </row>
    <row r="197" ht="27.6" customHeight="1" spans="1:10">
      <c r="A197" s="211" t="s">
        <v>447</v>
      </c>
      <c r="B197" s="211"/>
      <c r="C197" s="211"/>
      <c r="D197" s="211"/>
      <c r="E197" s="211"/>
      <c r="F197" s="211"/>
      <c r="G197" s="211"/>
      <c r="H197" s="211"/>
      <c r="I197" s="211"/>
      <c r="J197" s="211"/>
    </row>
    <row r="198" spans="1:10">
      <c r="A198" s="216"/>
      <c r="B198" s="216"/>
      <c r="C198" s="216"/>
      <c r="D198" s="216"/>
      <c r="E198" s="216"/>
      <c r="F198" s="216"/>
      <c r="G198" s="216"/>
      <c r="H198" s="216"/>
      <c r="I198" s="216"/>
      <c r="J198" s="216"/>
    </row>
    <row r="199" ht="45.95" customHeight="1" spans="1:10">
      <c r="A199" s="314" t="s">
        <v>448</v>
      </c>
      <c r="B199" s="314"/>
      <c r="C199" s="314"/>
      <c r="D199" s="314"/>
      <c r="E199" s="314"/>
      <c r="F199" s="314"/>
      <c r="G199" s="314"/>
      <c r="H199" s="314"/>
      <c r="I199" s="314"/>
      <c r="J199" s="314"/>
    </row>
    <row r="200" ht="14.65" customHeight="1" spans="1:10">
      <c r="A200" s="315" t="s">
        <v>449</v>
      </c>
      <c r="B200" s="315"/>
      <c r="C200" s="315"/>
      <c r="D200" s="315"/>
      <c r="E200" s="315"/>
      <c r="F200" s="315"/>
      <c r="G200" s="315"/>
      <c r="H200" s="315"/>
      <c r="I200" s="315"/>
      <c r="J200" s="210" t="s">
        <v>335</v>
      </c>
    </row>
    <row r="201" ht="14.65" customHeight="1" spans="1:10">
      <c r="A201" s="316" t="s">
        <v>262</v>
      </c>
      <c r="B201" s="317" t="s">
        <v>450</v>
      </c>
      <c r="C201" s="317"/>
      <c r="D201" s="317"/>
      <c r="E201" s="317"/>
      <c r="F201" s="317"/>
      <c r="G201" s="317"/>
      <c r="H201" s="317"/>
      <c r="I201" s="317"/>
      <c r="J201" s="275">
        <f>J68</f>
        <v>1300.75</v>
      </c>
    </row>
    <row r="202" ht="14.65" customHeight="1" spans="1:10">
      <c r="A202" s="316" t="s">
        <v>264</v>
      </c>
      <c r="B202" s="317" t="s">
        <v>331</v>
      </c>
      <c r="C202" s="317"/>
      <c r="D202" s="317"/>
      <c r="E202" s="317"/>
      <c r="F202" s="317"/>
      <c r="G202" s="317"/>
      <c r="H202" s="317"/>
      <c r="I202" s="317"/>
      <c r="J202" s="275">
        <f>J121</f>
        <v>1108.35</v>
      </c>
    </row>
    <row r="203" ht="14.65" customHeight="1" spans="1:10">
      <c r="A203" s="316" t="s">
        <v>266</v>
      </c>
      <c r="B203" s="317" t="s">
        <v>451</v>
      </c>
      <c r="C203" s="317"/>
      <c r="D203" s="317"/>
      <c r="E203" s="317"/>
      <c r="F203" s="317"/>
      <c r="G203" s="317"/>
      <c r="H203" s="317"/>
      <c r="I203" s="317"/>
      <c r="J203" s="275">
        <f>J131</f>
        <v>69.61</v>
      </c>
    </row>
    <row r="204" ht="14.65" customHeight="1" spans="1:10">
      <c r="A204" s="316" t="s">
        <v>268</v>
      </c>
      <c r="B204" s="317" t="s">
        <v>452</v>
      </c>
      <c r="C204" s="317"/>
      <c r="D204" s="317"/>
      <c r="E204" s="317"/>
      <c r="F204" s="317"/>
      <c r="G204" s="317"/>
      <c r="H204" s="317"/>
      <c r="I204" s="317"/>
      <c r="J204" s="275">
        <f>J162</f>
        <v>49.43</v>
      </c>
    </row>
    <row r="205" ht="14.65" customHeight="1" spans="1:10">
      <c r="A205" s="316" t="s">
        <v>323</v>
      </c>
      <c r="B205" s="317" t="s">
        <v>453</v>
      </c>
      <c r="C205" s="317"/>
      <c r="D205" s="317"/>
      <c r="E205" s="317"/>
      <c r="F205" s="317"/>
      <c r="G205" s="317"/>
      <c r="H205" s="317"/>
      <c r="I205" s="317"/>
      <c r="J205" s="275">
        <f>J170</f>
        <v>1036.63338329601</v>
      </c>
    </row>
    <row r="206" ht="14.65" customHeight="1" spans="1:10">
      <c r="A206" s="318" t="s">
        <v>454</v>
      </c>
      <c r="B206" s="318"/>
      <c r="C206" s="318"/>
      <c r="D206" s="318"/>
      <c r="E206" s="318"/>
      <c r="F206" s="318"/>
      <c r="G206" s="318"/>
      <c r="H206" s="318"/>
      <c r="I206" s="318"/>
      <c r="J206" s="293">
        <f>SUM(J201:J205)</f>
        <v>3564.77338329601</v>
      </c>
    </row>
    <row r="207" ht="14.65" customHeight="1" spans="1:10">
      <c r="A207" s="316" t="s">
        <v>325</v>
      </c>
      <c r="B207" s="317" t="s">
        <v>455</v>
      </c>
      <c r="C207" s="317"/>
      <c r="D207" s="317"/>
      <c r="E207" s="317"/>
      <c r="F207" s="317"/>
      <c r="G207" s="317"/>
      <c r="H207" s="317"/>
      <c r="I207" s="317"/>
      <c r="J207" s="275">
        <f>J190</f>
        <v>666.81</v>
      </c>
    </row>
    <row r="208" ht="14.65" customHeight="1" spans="1:10">
      <c r="A208" s="318" t="s">
        <v>456</v>
      </c>
      <c r="B208" s="318"/>
      <c r="C208" s="318"/>
      <c r="D208" s="318"/>
      <c r="E208" s="318"/>
      <c r="F208" s="318"/>
      <c r="G208" s="318"/>
      <c r="H208" s="318"/>
      <c r="I208" s="318"/>
      <c r="J208" s="293">
        <f>SUM(J206:J207)</f>
        <v>4231.58338329601</v>
      </c>
    </row>
    <row r="209" ht="17.1" customHeight="1" spans="1:10">
      <c r="A209" s="319" t="s">
        <v>457</v>
      </c>
      <c r="B209" s="319"/>
      <c r="C209" s="319"/>
      <c r="D209" s="319"/>
      <c r="E209" s="319"/>
      <c r="F209" s="319"/>
      <c r="G209" s="319"/>
      <c r="H209" s="319"/>
      <c r="I209" s="319"/>
      <c r="J209" s="319"/>
    </row>
    <row r="210" ht="14.65" customHeight="1" spans="1:10">
      <c r="A210" s="203" t="s">
        <v>458</v>
      </c>
      <c r="B210" s="203"/>
      <c r="C210" s="203"/>
      <c r="D210" s="203"/>
      <c r="E210" s="203"/>
      <c r="F210" s="203"/>
      <c r="G210" s="203"/>
      <c r="H210" s="203"/>
      <c r="I210" s="203"/>
      <c r="J210" s="203"/>
    </row>
    <row r="211" ht="31.5" customHeight="1" spans="1:10">
      <c r="A211" s="203" t="s">
        <v>459</v>
      </c>
      <c r="B211" s="203"/>
      <c r="C211" s="203"/>
      <c r="D211" s="203"/>
      <c r="E211" s="203"/>
      <c r="F211" s="203"/>
      <c r="G211" s="203"/>
      <c r="H211" s="203"/>
      <c r="I211" s="203"/>
      <c r="J211" s="203"/>
    </row>
    <row r="212" ht="39" customHeight="1" spans="1:10">
      <c r="A212" s="320" t="s">
        <v>460</v>
      </c>
      <c r="B212" s="320"/>
      <c r="C212" s="320"/>
      <c r="D212" s="320" t="s">
        <v>461</v>
      </c>
      <c r="E212" s="320"/>
      <c r="F212" s="320"/>
      <c r="G212" s="210" t="s">
        <v>462</v>
      </c>
      <c r="H212" s="210"/>
      <c r="I212" s="210" t="s">
        <v>463</v>
      </c>
      <c r="J212" s="210"/>
    </row>
    <row r="213" ht="14.65" customHeight="1" spans="1:10">
      <c r="A213" s="211" t="s">
        <v>464</v>
      </c>
      <c r="B213" s="211"/>
      <c r="C213" s="211"/>
      <c r="D213" s="321">
        <v>1</v>
      </c>
      <c r="E213" s="322">
        <v>30</v>
      </c>
      <c r="F213" s="322">
        <f>E214</f>
        <v>1200</v>
      </c>
      <c r="G213" s="323">
        <v>0</v>
      </c>
      <c r="H213" s="323"/>
      <c r="I213" s="338">
        <v>0</v>
      </c>
      <c r="J213" s="338"/>
    </row>
    <row r="214" ht="14.65" customHeight="1" spans="1:10">
      <c r="A214" s="211" t="s">
        <v>465</v>
      </c>
      <c r="B214" s="211"/>
      <c r="C214" s="211"/>
      <c r="D214" s="321">
        <v>1</v>
      </c>
      <c r="E214" s="324">
        <f>'Qtd postos 20%'!C3</f>
        <v>1200</v>
      </c>
      <c r="F214" s="324"/>
      <c r="G214" s="325">
        <f>J208</f>
        <v>4231.58338329601</v>
      </c>
      <c r="H214" s="325"/>
      <c r="I214" s="338">
        <f>ROUND((D214/E214)*G214,2)</f>
        <v>3.53</v>
      </c>
      <c r="J214" s="338"/>
    </row>
    <row r="215" ht="14.65" customHeight="1" spans="1:10">
      <c r="A215" s="251" t="s">
        <v>466</v>
      </c>
      <c r="B215" s="251"/>
      <c r="C215" s="251"/>
      <c r="D215" s="251"/>
      <c r="E215" s="251"/>
      <c r="F215" s="251"/>
      <c r="G215" s="251"/>
      <c r="H215" s="251"/>
      <c r="I215" s="338">
        <f>SUM(I213+I214)</f>
        <v>3.53</v>
      </c>
      <c r="J215" s="338"/>
    </row>
    <row r="216" ht="14.65" customHeight="1" spans="1:10">
      <c r="A216" s="326"/>
      <c r="B216" s="326"/>
      <c r="C216" s="326"/>
      <c r="D216" s="326"/>
      <c r="E216" s="326"/>
      <c r="F216" s="326"/>
      <c r="G216" s="326"/>
      <c r="H216" s="326"/>
      <c r="I216" s="326"/>
      <c r="J216" s="326"/>
    </row>
    <row r="217" ht="14.65" customHeight="1" spans="1:10">
      <c r="A217" s="211" t="s">
        <v>467</v>
      </c>
      <c r="B217" s="211"/>
      <c r="C217" s="211"/>
      <c r="D217" s="327">
        <v>1</v>
      </c>
      <c r="E217" s="322">
        <v>30</v>
      </c>
      <c r="F217" s="322">
        <f>E218</f>
        <v>3600</v>
      </c>
      <c r="G217" s="323">
        <v>0</v>
      </c>
      <c r="H217" s="323"/>
      <c r="I217" s="338">
        <f>ROUND((D217/E217*F217)*G217,2)</f>
        <v>0</v>
      </c>
      <c r="J217" s="338"/>
    </row>
    <row r="218" ht="14.65" customHeight="1" spans="1:10">
      <c r="A218" s="211" t="s">
        <v>468</v>
      </c>
      <c r="B218" s="211"/>
      <c r="C218" s="211"/>
      <c r="D218" s="327">
        <v>1</v>
      </c>
      <c r="E218" s="324">
        <f>'Qtd postos 20%'!C4</f>
        <v>3600</v>
      </c>
      <c r="F218" s="324"/>
      <c r="G218" s="323">
        <f>J208</f>
        <v>4231.58338329601</v>
      </c>
      <c r="H218" s="323"/>
      <c r="I218" s="338">
        <f>ROUND((D218/E218)*G218,2)</f>
        <v>1.18</v>
      </c>
      <c r="J218" s="338"/>
    </row>
    <row r="219" ht="14.65" customHeight="1" spans="1:10">
      <c r="A219" s="251" t="s">
        <v>466</v>
      </c>
      <c r="B219" s="251"/>
      <c r="C219" s="251"/>
      <c r="D219" s="251"/>
      <c r="E219" s="251"/>
      <c r="F219" s="251"/>
      <c r="G219" s="251"/>
      <c r="H219" s="251"/>
      <c r="I219" s="338">
        <f>SUM(I217+I218)</f>
        <v>1.18</v>
      </c>
      <c r="J219" s="338"/>
    </row>
    <row r="220" ht="14.65" customHeight="1" spans="1:10">
      <c r="A220" s="326"/>
      <c r="B220" s="326"/>
      <c r="C220" s="326"/>
      <c r="D220" s="326"/>
      <c r="E220" s="326"/>
      <c r="F220" s="326"/>
      <c r="G220" s="326"/>
      <c r="H220" s="326"/>
      <c r="I220" s="326"/>
      <c r="J220" s="326"/>
    </row>
    <row r="221" ht="14.65" customHeight="1" spans="1:10">
      <c r="A221" s="211" t="s">
        <v>469</v>
      </c>
      <c r="B221" s="211"/>
      <c r="C221" s="211"/>
      <c r="D221" s="321">
        <v>1</v>
      </c>
      <c r="E221" s="322">
        <v>30</v>
      </c>
      <c r="F221" s="322">
        <f>E222</f>
        <v>600</v>
      </c>
      <c r="G221" s="328">
        <v>0</v>
      </c>
      <c r="H221" s="328"/>
      <c r="I221" s="338">
        <f>ROUND((D221/E221*F221)*G221,2)</f>
        <v>0</v>
      </c>
      <c r="J221" s="338"/>
    </row>
    <row r="222" ht="14.65" customHeight="1" spans="1:10">
      <c r="A222" s="211" t="s">
        <v>470</v>
      </c>
      <c r="B222" s="211"/>
      <c r="C222" s="211"/>
      <c r="D222" s="321">
        <v>1</v>
      </c>
      <c r="E222" s="324">
        <f>'Qtd postos 20%'!C5</f>
        <v>600</v>
      </c>
      <c r="F222" s="324"/>
      <c r="G222" s="329">
        <f>J208</f>
        <v>4231.58338329601</v>
      </c>
      <c r="H222" s="329"/>
      <c r="I222" s="338">
        <f>ROUND((D222/E222)*G222,2)</f>
        <v>7.05</v>
      </c>
      <c r="J222" s="338"/>
    </row>
    <row r="223" ht="14.65" customHeight="1" spans="1:10">
      <c r="A223" s="251" t="s">
        <v>466</v>
      </c>
      <c r="B223" s="251"/>
      <c r="C223" s="251"/>
      <c r="D223" s="251"/>
      <c r="E223" s="251"/>
      <c r="F223" s="251"/>
      <c r="G223" s="251"/>
      <c r="H223" s="251"/>
      <c r="I223" s="338">
        <f>SUM(I221+I222)</f>
        <v>7.05</v>
      </c>
      <c r="J223" s="338"/>
    </row>
    <row r="224" ht="14.65" customHeight="1" spans="1:10">
      <c r="A224" s="326"/>
      <c r="B224" s="326"/>
      <c r="C224" s="326"/>
      <c r="D224" s="326"/>
      <c r="E224" s="326"/>
      <c r="F224" s="326"/>
      <c r="G224" s="326"/>
      <c r="H224" s="326"/>
      <c r="I224" s="326"/>
      <c r="J224" s="326"/>
    </row>
    <row r="225" ht="14.65" customHeight="1" spans="1:10">
      <c r="A225" s="330" t="s">
        <v>471</v>
      </c>
      <c r="B225" s="330"/>
      <c r="C225" s="330"/>
      <c r="D225" s="322">
        <v>1</v>
      </c>
      <c r="E225" s="322">
        <v>30</v>
      </c>
      <c r="F225" s="322">
        <f>E226</f>
        <v>1950</v>
      </c>
      <c r="G225" s="323">
        <v>0</v>
      </c>
      <c r="H225" s="323"/>
      <c r="I225" s="338">
        <f>ROUND((D225/E225*F225)*G225,2)</f>
        <v>0</v>
      </c>
      <c r="J225" s="338"/>
    </row>
    <row r="226" ht="14.65" customHeight="1" spans="1:10">
      <c r="A226" s="330" t="s">
        <v>472</v>
      </c>
      <c r="B226" s="330"/>
      <c r="C226" s="330"/>
      <c r="D226" s="331">
        <v>1</v>
      </c>
      <c r="E226" s="324">
        <f>'Qtd postos 20%'!C6</f>
        <v>1950</v>
      </c>
      <c r="F226" s="324"/>
      <c r="G226" s="325">
        <f>J208</f>
        <v>4231.58338329601</v>
      </c>
      <c r="H226" s="325"/>
      <c r="I226" s="338">
        <f>ROUND((D226/E226)*G226,2)</f>
        <v>2.17</v>
      </c>
      <c r="J226" s="338"/>
    </row>
    <row r="227" ht="14.65" customHeight="1" spans="1:10">
      <c r="A227" s="251" t="s">
        <v>466</v>
      </c>
      <c r="B227" s="251"/>
      <c r="C227" s="251"/>
      <c r="D227" s="251"/>
      <c r="E227" s="251"/>
      <c r="F227" s="251"/>
      <c r="G227" s="251"/>
      <c r="H227" s="251"/>
      <c r="I227" s="338">
        <f>SUM(I225+I226)</f>
        <v>2.17</v>
      </c>
      <c r="J227" s="338"/>
    </row>
    <row r="228" ht="14.65" customHeight="1" spans="1:10">
      <c r="A228" s="326"/>
      <c r="B228" s="326"/>
      <c r="C228" s="326"/>
      <c r="D228" s="326"/>
      <c r="E228" s="326"/>
      <c r="F228" s="326"/>
      <c r="G228" s="326"/>
      <c r="H228" s="326"/>
      <c r="I228" s="326"/>
      <c r="J228" s="326"/>
    </row>
    <row r="229" ht="14.65" customHeight="1" spans="1:10">
      <c r="A229" s="211" t="s">
        <v>473</v>
      </c>
      <c r="B229" s="211"/>
      <c r="C229" s="211"/>
      <c r="D229" s="321">
        <v>1</v>
      </c>
      <c r="E229" s="322">
        <v>30</v>
      </c>
      <c r="F229" s="322">
        <f>E230</f>
        <v>0</v>
      </c>
      <c r="G229" s="328">
        <v>0</v>
      </c>
      <c r="H229" s="328"/>
      <c r="I229" s="338">
        <f>ROUND((D229/E229*F229)*G229,2)</f>
        <v>0</v>
      </c>
      <c r="J229" s="338"/>
    </row>
    <row r="230" ht="14.65" customHeight="1" spans="1:10">
      <c r="A230" s="211" t="s">
        <v>474</v>
      </c>
      <c r="B230" s="211"/>
      <c r="C230" s="211"/>
      <c r="D230" s="321">
        <v>1</v>
      </c>
      <c r="E230" s="324">
        <f>'Qtd postos 20%'!C7</f>
        <v>0</v>
      </c>
      <c r="F230" s="324"/>
      <c r="G230" s="329">
        <f>J208</f>
        <v>4231.58338329601</v>
      </c>
      <c r="H230" s="329"/>
      <c r="I230" s="338">
        <v>0</v>
      </c>
      <c r="J230" s="338"/>
    </row>
    <row r="231" ht="14.65" customHeight="1" spans="1:10">
      <c r="A231" s="251" t="s">
        <v>466</v>
      </c>
      <c r="B231" s="251"/>
      <c r="C231" s="251"/>
      <c r="D231" s="251"/>
      <c r="E231" s="251"/>
      <c r="F231" s="251"/>
      <c r="G231" s="251"/>
      <c r="H231" s="251"/>
      <c r="I231" s="338">
        <f>SUM(I229+I230)</f>
        <v>0</v>
      </c>
      <c r="J231" s="338"/>
    </row>
    <row r="232" ht="14.65" customHeight="1" spans="1:10">
      <c r="A232" s="326"/>
      <c r="B232" s="326"/>
      <c r="C232" s="326"/>
      <c r="D232" s="326"/>
      <c r="E232" s="326"/>
      <c r="F232" s="326"/>
      <c r="G232" s="326"/>
      <c r="H232" s="326"/>
      <c r="I232" s="326"/>
      <c r="J232" s="326"/>
    </row>
    <row r="233" ht="27.6" customHeight="1" spans="1:10">
      <c r="A233" s="211" t="s">
        <v>475</v>
      </c>
      <c r="B233" s="211"/>
      <c r="C233" s="211"/>
      <c r="D233" s="322">
        <v>1</v>
      </c>
      <c r="E233" s="322">
        <v>30</v>
      </c>
      <c r="F233" s="322">
        <f>E234</f>
        <v>3000</v>
      </c>
      <c r="G233" s="328">
        <v>0</v>
      </c>
      <c r="H233" s="328"/>
      <c r="I233" s="338">
        <f>ROUND((D233/E233*F233)*G233,2)</f>
        <v>0</v>
      </c>
      <c r="J233" s="338"/>
    </row>
    <row r="234" ht="27.6" customHeight="1" spans="1:10">
      <c r="A234" s="211" t="s">
        <v>476</v>
      </c>
      <c r="B234" s="211"/>
      <c r="C234" s="211"/>
      <c r="D234" s="322">
        <v>1</v>
      </c>
      <c r="E234" s="324">
        <f>'Qtd postos 20%'!C8</f>
        <v>3000</v>
      </c>
      <c r="F234" s="324"/>
      <c r="G234" s="325">
        <f>J208</f>
        <v>4231.58338329601</v>
      </c>
      <c r="H234" s="325"/>
      <c r="I234" s="338">
        <f>ROUND((D234/E234)*G234,2)</f>
        <v>1.41</v>
      </c>
      <c r="J234" s="338"/>
    </row>
    <row r="235" ht="14.65" customHeight="1" spans="1:10">
      <c r="A235" s="238" t="s">
        <v>466</v>
      </c>
      <c r="B235" s="238"/>
      <c r="C235" s="238"/>
      <c r="D235" s="238"/>
      <c r="E235" s="238"/>
      <c r="F235" s="238"/>
      <c r="G235" s="238"/>
      <c r="H235" s="238"/>
      <c r="I235" s="339">
        <f>SUM(I233+I234)</f>
        <v>1.41</v>
      </c>
      <c r="J235" s="339"/>
    </row>
    <row r="236" ht="14.65" customHeight="1" spans="1:10">
      <c r="A236" s="326"/>
      <c r="B236" s="326"/>
      <c r="C236" s="326"/>
      <c r="D236" s="326"/>
      <c r="E236" s="326"/>
      <c r="F236" s="326"/>
      <c r="G236" s="326"/>
      <c r="H236" s="326"/>
      <c r="I236" s="326"/>
      <c r="J236" s="326"/>
    </row>
    <row r="237" ht="14.65" customHeight="1" spans="1:10">
      <c r="A237" s="250" t="s">
        <v>477</v>
      </c>
      <c r="B237" s="250"/>
      <c r="C237" s="250"/>
      <c r="D237" s="332">
        <v>1</v>
      </c>
      <c r="E237" s="332">
        <v>30</v>
      </c>
      <c r="F237" s="332">
        <f>E238</f>
        <v>0</v>
      </c>
      <c r="G237" s="333">
        <v>0</v>
      </c>
      <c r="H237" s="333"/>
      <c r="I237" s="338">
        <f>ROUND((D237/E237*F237)*G237,2)</f>
        <v>0</v>
      </c>
      <c r="J237" s="338"/>
    </row>
    <row r="238" ht="14.65" customHeight="1" spans="1:10">
      <c r="A238" s="250" t="s">
        <v>478</v>
      </c>
      <c r="B238" s="250"/>
      <c r="C238" s="250"/>
      <c r="D238" s="332">
        <v>1</v>
      </c>
      <c r="E238" s="334">
        <v>0</v>
      </c>
      <c r="F238" s="334"/>
      <c r="G238" s="333">
        <v>0</v>
      </c>
      <c r="H238" s="333"/>
      <c r="I238" s="338">
        <v>0</v>
      </c>
      <c r="J238" s="338"/>
    </row>
    <row r="239" ht="14.65" customHeight="1" spans="1:10">
      <c r="A239" s="222" t="s">
        <v>466</v>
      </c>
      <c r="B239" s="222"/>
      <c r="C239" s="222"/>
      <c r="D239" s="222"/>
      <c r="E239" s="222"/>
      <c r="F239" s="222"/>
      <c r="G239" s="222"/>
      <c r="H239" s="222"/>
      <c r="I239" s="338">
        <f>SUM(I237+I238)</f>
        <v>0</v>
      </c>
      <c r="J239" s="338"/>
    </row>
    <row r="240" ht="14.65" customHeight="1" spans="1:10">
      <c r="A240" s="326"/>
      <c r="B240" s="326"/>
      <c r="C240" s="326"/>
      <c r="D240" s="326"/>
      <c r="E240" s="326"/>
      <c r="F240" s="326"/>
      <c r="G240" s="326"/>
      <c r="H240" s="326"/>
      <c r="I240" s="326"/>
      <c r="J240" s="326"/>
    </row>
    <row r="241" ht="14.65" customHeight="1" spans="1:10">
      <c r="A241" s="223" t="s">
        <v>479</v>
      </c>
      <c r="B241" s="223"/>
      <c r="C241" s="223"/>
      <c r="D241" s="223"/>
      <c r="E241" s="223"/>
      <c r="F241" s="223"/>
      <c r="G241" s="223"/>
      <c r="H241" s="223"/>
      <c r="I241" s="223"/>
      <c r="J241" s="223"/>
    </row>
    <row r="242" ht="14.65" customHeight="1" spans="1:10">
      <c r="A242" s="335"/>
      <c r="B242" s="335"/>
      <c r="C242" s="335"/>
      <c r="D242" s="335"/>
      <c r="E242" s="335"/>
      <c r="F242" s="335"/>
      <c r="G242" s="335"/>
      <c r="H242" s="335"/>
      <c r="I242" s="335"/>
      <c r="J242" s="335"/>
    </row>
    <row r="243" ht="43.7" customHeight="1" spans="1:10">
      <c r="A243" s="203" t="s">
        <v>480</v>
      </c>
      <c r="B243" s="203"/>
      <c r="C243" s="203"/>
      <c r="D243" s="203"/>
      <c r="E243" s="203"/>
      <c r="F243" s="203"/>
      <c r="G243" s="203"/>
      <c r="H243" s="203"/>
      <c r="I243" s="203"/>
      <c r="J243" s="203"/>
    </row>
    <row r="244" ht="39" customHeight="1" spans="1:10">
      <c r="A244" s="320" t="s">
        <v>481</v>
      </c>
      <c r="B244" s="320"/>
      <c r="C244" s="320"/>
      <c r="D244" s="320" t="s">
        <v>482</v>
      </c>
      <c r="E244" s="320"/>
      <c r="F244" s="320"/>
      <c r="G244" s="210" t="s">
        <v>483</v>
      </c>
      <c r="H244" s="210"/>
      <c r="I244" s="210" t="s">
        <v>463</v>
      </c>
      <c r="J244" s="210"/>
    </row>
    <row r="245" ht="39" customHeight="1" spans="1:10">
      <c r="A245" s="211" t="s">
        <v>484</v>
      </c>
      <c r="B245" s="211"/>
      <c r="C245" s="211"/>
      <c r="D245" s="336">
        <v>1</v>
      </c>
      <c r="E245" s="337" t="s">
        <v>485</v>
      </c>
      <c r="F245" s="337">
        <f>E246</f>
        <v>2700</v>
      </c>
      <c r="G245" s="323">
        <v>0</v>
      </c>
      <c r="H245" s="323"/>
      <c r="I245" s="311">
        <v>0</v>
      </c>
      <c r="J245" s="311"/>
    </row>
    <row r="246" ht="39" customHeight="1" spans="1:10">
      <c r="A246" s="211" t="s">
        <v>486</v>
      </c>
      <c r="B246" s="211"/>
      <c r="C246" s="211"/>
      <c r="D246" s="336">
        <v>1</v>
      </c>
      <c r="E246" s="324">
        <f>'Qtd postos 20%'!C9</f>
        <v>2700</v>
      </c>
      <c r="F246" s="324"/>
      <c r="G246" s="323">
        <f>J208</f>
        <v>4231.58338329601</v>
      </c>
      <c r="H246" s="323"/>
      <c r="I246" s="311">
        <f>ROUND((D246/E246)*G246,2)</f>
        <v>1.57</v>
      </c>
      <c r="J246" s="311"/>
    </row>
    <row r="247" ht="14.65" customHeight="1" spans="1:10">
      <c r="A247" s="251" t="s">
        <v>466</v>
      </c>
      <c r="B247" s="251"/>
      <c r="C247" s="251"/>
      <c r="D247" s="251"/>
      <c r="E247" s="251"/>
      <c r="F247" s="251"/>
      <c r="G247" s="251"/>
      <c r="H247" s="251"/>
      <c r="I247" s="311">
        <f>SUM(I245+I246)</f>
        <v>1.57</v>
      </c>
      <c r="J247" s="311"/>
    </row>
    <row r="248" ht="14.65" customHeight="1" spans="1:10">
      <c r="A248" s="335"/>
      <c r="B248" s="335"/>
      <c r="C248" s="335"/>
      <c r="D248" s="335"/>
      <c r="E248" s="335"/>
      <c r="F248" s="335"/>
      <c r="G248" s="335"/>
      <c r="H248" s="335"/>
      <c r="I248" s="335"/>
      <c r="J248" s="335"/>
    </row>
    <row r="249" ht="27.6" customHeight="1" spans="1:10">
      <c r="A249" s="211" t="s">
        <v>487</v>
      </c>
      <c r="B249" s="211"/>
      <c r="C249" s="211"/>
      <c r="D249" s="336">
        <v>1</v>
      </c>
      <c r="E249" s="337" t="s">
        <v>485</v>
      </c>
      <c r="F249" s="337">
        <f>E250</f>
        <v>9000</v>
      </c>
      <c r="G249" s="323">
        <v>0</v>
      </c>
      <c r="H249" s="323"/>
      <c r="I249" s="311">
        <v>0</v>
      </c>
      <c r="J249" s="311"/>
    </row>
    <row r="250" ht="27.6" customHeight="1" spans="1:10">
      <c r="A250" s="211" t="s">
        <v>488</v>
      </c>
      <c r="B250" s="211"/>
      <c r="C250" s="211"/>
      <c r="D250" s="336">
        <v>1</v>
      </c>
      <c r="E250" s="324">
        <f>'Qtd postos 20%'!C10</f>
        <v>9000</v>
      </c>
      <c r="F250" s="324"/>
      <c r="G250" s="323">
        <f>J208</f>
        <v>4231.58338329601</v>
      </c>
      <c r="H250" s="323"/>
      <c r="I250" s="311">
        <f>ROUND((D250/E250)*G250,2)</f>
        <v>0.47</v>
      </c>
      <c r="J250" s="311"/>
    </row>
    <row r="251" ht="14.65" customHeight="1" spans="1:10">
      <c r="A251" s="251" t="s">
        <v>466</v>
      </c>
      <c r="B251" s="251"/>
      <c r="C251" s="251"/>
      <c r="D251" s="251"/>
      <c r="E251" s="251"/>
      <c r="F251" s="251"/>
      <c r="G251" s="251"/>
      <c r="H251" s="251"/>
      <c r="I251" s="311">
        <f>SUM(I249+I250)</f>
        <v>0.47</v>
      </c>
      <c r="J251" s="311"/>
    </row>
    <row r="252" ht="14.65" customHeight="1" spans="1:10">
      <c r="A252" s="335"/>
      <c r="B252" s="335"/>
      <c r="C252" s="335"/>
      <c r="D252" s="335"/>
      <c r="E252" s="335"/>
      <c r="F252" s="335"/>
      <c r="G252" s="335"/>
      <c r="H252" s="335"/>
      <c r="I252" s="335"/>
      <c r="J252" s="335"/>
    </row>
    <row r="253" ht="27.6" customHeight="1" spans="1:10">
      <c r="A253" s="211" t="s">
        <v>489</v>
      </c>
      <c r="B253" s="211"/>
      <c r="C253" s="211"/>
      <c r="D253" s="336">
        <v>1</v>
      </c>
      <c r="E253" s="337" t="s">
        <v>485</v>
      </c>
      <c r="F253" s="337">
        <f>E254</f>
        <v>2700</v>
      </c>
      <c r="G253" s="323">
        <v>0</v>
      </c>
      <c r="H253" s="323"/>
      <c r="I253" s="311">
        <f>ROUND((D253/E253*F253)*G253,2)</f>
        <v>0</v>
      </c>
      <c r="J253" s="311"/>
    </row>
    <row r="254" ht="27.6" customHeight="1" spans="1:10">
      <c r="A254" s="211" t="s">
        <v>490</v>
      </c>
      <c r="B254" s="211"/>
      <c r="C254" s="211"/>
      <c r="D254" s="336">
        <v>1</v>
      </c>
      <c r="E254" s="324">
        <f>'Qtd postos 20%'!C11</f>
        <v>2700</v>
      </c>
      <c r="F254" s="324"/>
      <c r="G254" s="323">
        <f>J208</f>
        <v>4231.58338329601</v>
      </c>
      <c r="H254" s="323"/>
      <c r="I254" s="311">
        <f>ROUND((D254/E254)*G254,2)</f>
        <v>1.57</v>
      </c>
      <c r="J254" s="311"/>
    </row>
    <row r="255" ht="14.65" customHeight="1" spans="1:10">
      <c r="A255" s="251" t="s">
        <v>466</v>
      </c>
      <c r="B255" s="251"/>
      <c r="C255" s="251"/>
      <c r="D255" s="251"/>
      <c r="E255" s="251"/>
      <c r="F255" s="251"/>
      <c r="G255" s="251"/>
      <c r="H255" s="251"/>
      <c r="I255" s="311">
        <f>SUM(I253+I254)</f>
        <v>1.57</v>
      </c>
      <c r="J255" s="311"/>
    </row>
    <row r="256" ht="14.65" customHeight="1" spans="1:10">
      <c r="A256" s="335"/>
      <c r="B256" s="335"/>
      <c r="C256" s="335"/>
      <c r="D256" s="335"/>
      <c r="E256" s="335"/>
      <c r="F256" s="335"/>
      <c r="G256" s="335"/>
      <c r="H256" s="335"/>
      <c r="I256" s="335"/>
      <c r="J256" s="335"/>
    </row>
    <row r="257" ht="27.6" customHeight="1" spans="1:10">
      <c r="A257" s="211" t="s">
        <v>491</v>
      </c>
      <c r="B257" s="211"/>
      <c r="C257" s="211"/>
      <c r="D257" s="336">
        <v>1</v>
      </c>
      <c r="E257" s="337" t="s">
        <v>485</v>
      </c>
      <c r="F257" s="337">
        <f>E258</f>
        <v>2700</v>
      </c>
      <c r="G257" s="323">
        <v>0</v>
      </c>
      <c r="H257" s="323"/>
      <c r="I257" s="373">
        <f>ROUND((D257/E257*F257)*G257,2)</f>
        <v>0</v>
      </c>
      <c r="J257" s="373"/>
    </row>
    <row r="258" ht="27.6" customHeight="1" spans="1:10">
      <c r="A258" s="211" t="s">
        <v>492</v>
      </c>
      <c r="B258" s="211"/>
      <c r="C258" s="211"/>
      <c r="D258" s="336">
        <v>1</v>
      </c>
      <c r="E258" s="324">
        <f>'Qtd postos 20%'!C12</f>
        <v>2700</v>
      </c>
      <c r="F258" s="324"/>
      <c r="G258" s="323">
        <f>J208</f>
        <v>4231.58338329601</v>
      </c>
      <c r="H258" s="323"/>
      <c r="I258" s="373">
        <f>ROUND((D258/E258)*G258,2)</f>
        <v>1.57</v>
      </c>
      <c r="J258" s="373"/>
    </row>
    <row r="259" ht="14.65" customHeight="1" spans="1:10">
      <c r="A259" s="251" t="s">
        <v>466</v>
      </c>
      <c r="B259" s="251"/>
      <c r="C259" s="251"/>
      <c r="D259" s="251"/>
      <c r="E259" s="251"/>
      <c r="F259" s="251"/>
      <c r="G259" s="251"/>
      <c r="H259" s="251"/>
      <c r="I259" s="373">
        <f>SUM(I257+I258)</f>
        <v>1.57</v>
      </c>
      <c r="J259" s="373"/>
    </row>
    <row r="260" ht="14.65" customHeight="1" spans="1:10">
      <c r="A260" s="335"/>
      <c r="B260" s="335"/>
      <c r="C260" s="335"/>
      <c r="D260" s="335"/>
      <c r="E260" s="335"/>
      <c r="F260" s="335"/>
      <c r="G260" s="335"/>
      <c r="H260" s="335"/>
      <c r="I260" s="335"/>
      <c r="J260" s="335"/>
    </row>
    <row r="261" ht="27.6" customHeight="1" spans="1:10">
      <c r="A261" s="211" t="s">
        <v>493</v>
      </c>
      <c r="B261" s="211"/>
      <c r="C261" s="211"/>
      <c r="D261" s="336" t="s">
        <v>494</v>
      </c>
      <c r="E261" s="337" t="s">
        <v>485</v>
      </c>
      <c r="F261" s="337">
        <f>E262</f>
        <v>3000</v>
      </c>
      <c r="G261" s="323">
        <v>0</v>
      </c>
      <c r="H261" s="323"/>
      <c r="I261" s="311">
        <f>ROUND((D261/E261*F261)*G261,2)</f>
        <v>0</v>
      </c>
      <c r="J261" s="311"/>
    </row>
    <row r="262" ht="27.6" customHeight="1" spans="1:10">
      <c r="A262" s="211" t="s">
        <v>495</v>
      </c>
      <c r="B262" s="211"/>
      <c r="C262" s="211"/>
      <c r="D262" s="336">
        <v>1</v>
      </c>
      <c r="E262" s="324">
        <f>'Qtd postos 20%'!C13</f>
        <v>3000</v>
      </c>
      <c r="F262" s="324"/>
      <c r="G262" s="312">
        <f>J208</f>
        <v>4231.58338329601</v>
      </c>
      <c r="H262" s="312"/>
      <c r="I262" s="311">
        <v>1.77</v>
      </c>
      <c r="J262" s="311"/>
    </row>
    <row r="263" ht="14.65" customHeight="1" spans="1:10">
      <c r="A263" s="238" t="s">
        <v>466</v>
      </c>
      <c r="B263" s="238"/>
      <c r="C263" s="238"/>
      <c r="D263" s="238"/>
      <c r="E263" s="238"/>
      <c r="F263" s="238"/>
      <c r="G263" s="238"/>
      <c r="H263" s="238"/>
      <c r="I263" s="339">
        <f>SUM(I261+I262)</f>
        <v>1.77</v>
      </c>
      <c r="J263" s="339"/>
    </row>
    <row r="264" ht="14.65" customHeight="1" spans="1:10">
      <c r="A264" s="335"/>
      <c r="B264" s="335"/>
      <c r="C264" s="335"/>
      <c r="D264" s="335"/>
      <c r="E264" s="335"/>
      <c r="F264" s="335"/>
      <c r="G264" s="335"/>
      <c r="H264" s="335"/>
      <c r="I264" s="335"/>
      <c r="J264" s="335"/>
    </row>
    <row r="265" ht="39" customHeight="1" spans="1:10">
      <c r="A265" s="211" t="s">
        <v>496</v>
      </c>
      <c r="B265" s="211"/>
      <c r="C265" s="211"/>
      <c r="D265" s="336" t="s">
        <v>494</v>
      </c>
      <c r="E265" s="337" t="s">
        <v>485</v>
      </c>
      <c r="F265" s="337">
        <f>E266</f>
        <v>100000</v>
      </c>
      <c r="G265" s="323">
        <v>0</v>
      </c>
      <c r="H265" s="323"/>
      <c r="I265" s="311">
        <f>ROUND((D265/E265*F265)*G265,2)</f>
        <v>0</v>
      </c>
      <c r="J265" s="311"/>
    </row>
    <row r="266" ht="27.6" customHeight="1" spans="1:10">
      <c r="A266" s="211" t="s">
        <v>497</v>
      </c>
      <c r="B266" s="211"/>
      <c r="C266" s="211"/>
      <c r="D266" s="336" t="s">
        <v>494</v>
      </c>
      <c r="E266" s="324">
        <f>'Qtd postos 20%'!C14</f>
        <v>100000</v>
      </c>
      <c r="F266" s="324"/>
      <c r="G266" s="323">
        <f>J208</f>
        <v>4231.58338329601</v>
      </c>
      <c r="H266" s="323"/>
      <c r="I266" s="311">
        <f>ROUND((D266/E266)*G266,2)</f>
        <v>0.04</v>
      </c>
      <c r="J266" s="311"/>
    </row>
    <row r="267" ht="14.65" customHeight="1" spans="1:10">
      <c r="A267" s="251" t="s">
        <v>466</v>
      </c>
      <c r="B267" s="251"/>
      <c r="C267" s="251"/>
      <c r="D267" s="251"/>
      <c r="E267" s="251"/>
      <c r="F267" s="251"/>
      <c r="G267" s="251"/>
      <c r="H267" s="251"/>
      <c r="I267" s="311">
        <f>SUM(I265+I266)</f>
        <v>0.04</v>
      </c>
      <c r="J267" s="311"/>
    </row>
    <row r="268" ht="14.65" customHeight="1" spans="1:10">
      <c r="A268" s="335"/>
      <c r="B268" s="335"/>
      <c r="C268" s="335"/>
      <c r="D268" s="335"/>
      <c r="E268" s="335"/>
      <c r="F268" s="335"/>
      <c r="G268" s="335"/>
      <c r="H268" s="335"/>
      <c r="I268" s="335"/>
      <c r="J268" s="335"/>
    </row>
    <row r="269" ht="14.65" customHeight="1" spans="1:10">
      <c r="A269" s="223" t="s">
        <v>498</v>
      </c>
      <c r="B269" s="223"/>
      <c r="C269" s="223"/>
      <c r="D269" s="223"/>
      <c r="E269" s="223"/>
      <c r="F269" s="223"/>
      <c r="G269" s="223"/>
      <c r="H269" s="223"/>
      <c r="I269" s="223"/>
      <c r="J269" s="223"/>
    </row>
    <row r="270" ht="14.65" customHeight="1" spans="1:10">
      <c r="A270" s="335"/>
      <c r="B270" s="335"/>
      <c r="C270" s="335"/>
      <c r="D270" s="335"/>
      <c r="E270" s="335"/>
      <c r="F270" s="335"/>
      <c r="G270" s="335"/>
      <c r="H270" s="335"/>
      <c r="I270" s="335"/>
      <c r="J270" s="335"/>
    </row>
    <row r="271" ht="43.7" customHeight="1" spans="1:10">
      <c r="A271" s="203" t="s">
        <v>499</v>
      </c>
      <c r="B271" s="203"/>
      <c r="C271" s="203"/>
      <c r="D271" s="203"/>
      <c r="E271" s="203"/>
      <c r="F271" s="203"/>
      <c r="G271" s="203"/>
      <c r="H271" s="203"/>
      <c r="I271" s="203"/>
      <c r="J271" s="203"/>
    </row>
    <row r="272" ht="75.2" customHeight="1" spans="1:10">
      <c r="A272" s="320" t="s">
        <v>500</v>
      </c>
      <c r="B272" s="320" t="s">
        <v>501</v>
      </c>
      <c r="C272" s="320"/>
      <c r="D272" s="320"/>
      <c r="E272" s="340" t="s">
        <v>502</v>
      </c>
      <c r="F272" s="340" t="s">
        <v>503</v>
      </c>
      <c r="G272" s="340"/>
      <c r="H272" s="340" t="s">
        <v>504</v>
      </c>
      <c r="I272" s="340" t="s">
        <v>505</v>
      </c>
      <c r="J272" s="340" t="s">
        <v>506</v>
      </c>
    </row>
    <row r="273" ht="63.75" spans="1:10">
      <c r="A273" s="341" t="s">
        <v>507</v>
      </c>
      <c r="B273" s="342">
        <v>1</v>
      </c>
      <c r="C273" s="343">
        <v>30</v>
      </c>
      <c r="D273" s="343">
        <f>C274</f>
        <v>160</v>
      </c>
      <c r="E273" s="344">
        <v>16</v>
      </c>
      <c r="F273" s="345" t="s">
        <v>494</v>
      </c>
      <c r="G273" s="345" t="s">
        <v>508</v>
      </c>
      <c r="H273" s="346">
        <f>ROUND((B273/(C273*D273))*E273*(F273/G273),7)</f>
        <v>1.77e-5</v>
      </c>
      <c r="I273" s="311">
        <v>0</v>
      </c>
      <c r="J273" s="311">
        <f t="shared" ref="J273:J278" si="1">ROUND(H273*I273,2)</f>
        <v>0</v>
      </c>
    </row>
    <row r="274" ht="63.75" spans="1:10">
      <c r="A274" s="341" t="s">
        <v>509</v>
      </c>
      <c r="B274" s="342">
        <v>1</v>
      </c>
      <c r="C274" s="347">
        <f>'Qtd postos 20%'!C15</f>
        <v>160</v>
      </c>
      <c r="D274" s="347"/>
      <c r="E274" s="344">
        <v>16</v>
      </c>
      <c r="F274" s="345" t="s">
        <v>494</v>
      </c>
      <c r="G274" s="345" t="s">
        <v>508</v>
      </c>
      <c r="H274" s="346">
        <f>ROUND((B274/C274)*E274*(F274/G274),7)</f>
        <v>0.0005298</v>
      </c>
      <c r="I274" s="311">
        <f>J208</f>
        <v>4231.58338329601</v>
      </c>
      <c r="J274" s="311">
        <f t="shared" si="1"/>
        <v>2.24</v>
      </c>
    </row>
    <row r="275" ht="14.65" customHeight="1" spans="1:10">
      <c r="A275" s="348" t="s">
        <v>466</v>
      </c>
      <c r="B275" s="348"/>
      <c r="C275" s="348"/>
      <c r="D275" s="348"/>
      <c r="E275" s="348"/>
      <c r="F275" s="348"/>
      <c r="G275" s="348"/>
      <c r="H275" s="348"/>
      <c r="I275" s="348"/>
      <c r="J275" s="311">
        <f>SUM(J273+J274)</f>
        <v>2.24</v>
      </c>
    </row>
    <row r="276" ht="14.65" customHeight="1" spans="1:10">
      <c r="A276" s="349"/>
      <c r="B276" s="349"/>
      <c r="C276" s="349"/>
      <c r="D276" s="349"/>
      <c r="E276" s="349"/>
      <c r="F276" s="349"/>
      <c r="G276" s="349"/>
      <c r="H276" s="349"/>
      <c r="I276" s="349"/>
      <c r="J276" s="349"/>
    </row>
    <row r="277" ht="63.75" spans="1:10">
      <c r="A277" s="341" t="s">
        <v>510</v>
      </c>
      <c r="B277" s="342">
        <v>1</v>
      </c>
      <c r="C277" s="343">
        <v>30</v>
      </c>
      <c r="D277" s="343">
        <f>C278</f>
        <v>500</v>
      </c>
      <c r="E277" s="344">
        <v>16</v>
      </c>
      <c r="F277" s="345" t="s">
        <v>494</v>
      </c>
      <c r="G277" s="345" t="s">
        <v>508</v>
      </c>
      <c r="H277" s="346">
        <f>ROUND((B277/(C277*D277))*E277*(F277/G277),7)</f>
        <v>5.7e-6</v>
      </c>
      <c r="I277" s="311">
        <v>0</v>
      </c>
      <c r="J277" s="311">
        <f t="shared" si="1"/>
        <v>0</v>
      </c>
    </row>
    <row r="278" ht="63.2" customHeight="1" spans="1:10">
      <c r="A278" s="341" t="s">
        <v>511</v>
      </c>
      <c r="B278" s="342">
        <v>1</v>
      </c>
      <c r="C278" s="347">
        <f>'Qtd postos 20%'!C16</f>
        <v>500</v>
      </c>
      <c r="D278" s="347"/>
      <c r="E278" s="344">
        <v>16</v>
      </c>
      <c r="F278" s="345" t="s">
        <v>494</v>
      </c>
      <c r="G278" s="345" t="s">
        <v>508</v>
      </c>
      <c r="H278" s="346">
        <f>ROUND((B278/C278)*E278*(F278/G278),7)</f>
        <v>0.0001695</v>
      </c>
      <c r="I278" s="311">
        <f>J208</f>
        <v>4231.58338329601</v>
      </c>
      <c r="J278" s="311">
        <f t="shared" si="1"/>
        <v>0.72</v>
      </c>
    </row>
    <row r="279" ht="14.65" customHeight="1" spans="1:10">
      <c r="A279" s="251" t="s">
        <v>466</v>
      </c>
      <c r="B279" s="251"/>
      <c r="C279" s="251"/>
      <c r="D279" s="251"/>
      <c r="E279" s="251"/>
      <c r="F279" s="251"/>
      <c r="G279" s="251"/>
      <c r="H279" s="251"/>
      <c r="I279" s="251"/>
      <c r="J279" s="311">
        <f>SUM(J277+J278)</f>
        <v>0.72</v>
      </c>
    </row>
    <row r="280" spans="1:10">
      <c r="A280" s="349"/>
      <c r="B280" s="349"/>
      <c r="C280" s="349"/>
      <c r="D280" s="349"/>
      <c r="E280" s="349"/>
      <c r="F280" s="349"/>
      <c r="G280" s="349"/>
      <c r="H280" s="349"/>
      <c r="I280" s="349"/>
      <c r="J280" s="349"/>
    </row>
    <row r="281" ht="38.25" spans="1:10">
      <c r="A281" s="350" t="s">
        <v>512</v>
      </c>
      <c r="B281" s="342">
        <v>1</v>
      </c>
      <c r="C281" s="343">
        <v>30</v>
      </c>
      <c r="D281" s="343">
        <f>C282</f>
        <v>500</v>
      </c>
      <c r="E281" s="344">
        <v>16</v>
      </c>
      <c r="F281" s="345" t="s">
        <v>494</v>
      </c>
      <c r="G281" s="345" t="s">
        <v>508</v>
      </c>
      <c r="H281" s="346">
        <f>ROUND((B281/(C281*D281))*E281*(F281/G281),7)</f>
        <v>5.7e-6</v>
      </c>
      <c r="I281" s="311">
        <v>0</v>
      </c>
      <c r="J281" s="311">
        <f>ROUND(H281*I281,2)</f>
        <v>0</v>
      </c>
    </row>
    <row r="282" ht="27.6" customHeight="1" spans="1:10">
      <c r="A282" s="350" t="s">
        <v>513</v>
      </c>
      <c r="B282" s="342">
        <v>1</v>
      </c>
      <c r="C282" s="347">
        <f>'Qtd postos 20%'!C17</f>
        <v>500</v>
      </c>
      <c r="D282" s="347"/>
      <c r="E282" s="351">
        <v>16</v>
      </c>
      <c r="F282" s="345" t="s">
        <v>494</v>
      </c>
      <c r="G282" s="345" t="s">
        <v>508</v>
      </c>
      <c r="H282" s="346">
        <f>ROUND((B282/C282)*E282*(F282/G282),7)</f>
        <v>0.0001695</v>
      </c>
      <c r="I282" s="311">
        <f>J208</f>
        <v>4231.58338329601</v>
      </c>
      <c r="J282" s="311">
        <f>ROUND(H282*I282,2)</f>
        <v>0.72</v>
      </c>
    </row>
    <row r="283" ht="14.65" customHeight="1" spans="1:10">
      <c r="A283" s="238" t="s">
        <v>466</v>
      </c>
      <c r="B283" s="238"/>
      <c r="C283" s="238"/>
      <c r="D283" s="238"/>
      <c r="E283" s="238"/>
      <c r="F283" s="238"/>
      <c r="G283" s="238"/>
      <c r="H283" s="238"/>
      <c r="I283" s="238"/>
      <c r="J283" s="374">
        <f>SUM(J281+J282)</f>
        <v>0.72</v>
      </c>
    </row>
    <row r="284" spans="1:10">
      <c r="A284" s="349"/>
      <c r="B284" s="349"/>
      <c r="C284" s="349"/>
      <c r="D284" s="349"/>
      <c r="E284" s="349"/>
      <c r="F284" s="349"/>
      <c r="G284" s="349"/>
      <c r="H284" s="349"/>
      <c r="I284" s="349"/>
      <c r="J284" s="349"/>
    </row>
    <row r="285" ht="14.65" customHeight="1" spans="1:10">
      <c r="A285" s="223" t="s">
        <v>514</v>
      </c>
      <c r="B285" s="223"/>
      <c r="C285" s="223"/>
      <c r="D285" s="223"/>
      <c r="E285" s="223"/>
      <c r="F285" s="223"/>
      <c r="G285" s="223"/>
      <c r="H285" s="223"/>
      <c r="I285" s="223"/>
      <c r="J285" s="223"/>
    </row>
    <row r="286" ht="14.65" customHeight="1" spans="1:10">
      <c r="A286" s="349"/>
      <c r="B286" s="349"/>
      <c r="C286" s="349"/>
      <c r="D286" s="349"/>
      <c r="E286" s="349"/>
      <c r="F286" s="349"/>
      <c r="G286" s="349"/>
      <c r="H286" s="349"/>
      <c r="I286" s="349"/>
      <c r="J286" s="349"/>
    </row>
    <row r="287" ht="14.65" customHeight="1" spans="1:10">
      <c r="A287" s="207" t="s">
        <v>515</v>
      </c>
      <c r="B287" s="207"/>
      <c r="C287" s="207"/>
      <c r="D287" s="207"/>
      <c r="E287" s="207"/>
      <c r="F287" s="207"/>
      <c r="G287" s="207"/>
      <c r="H287" s="207"/>
      <c r="I287" s="207"/>
      <c r="J287" s="207"/>
    </row>
    <row r="288" ht="75.2" customHeight="1" spans="1:10">
      <c r="A288" s="320" t="s">
        <v>500</v>
      </c>
      <c r="B288" s="352" t="s">
        <v>516</v>
      </c>
      <c r="C288" s="352"/>
      <c r="D288" s="352"/>
      <c r="E288" s="353" t="s">
        <v>517</v>
      </c>
      <c r="F288" s="353" t="s">
        <v>518</v>
      </c>
      <c r="G288" s="353"/>
      <c r="H288" s="353" t="s">
        <v>519</v>
      </c>
      <c r="I288" s="353" t="s">
        <v>520</v>
      </c>
      <c r="J288" s="353" t="s">
        <v>521</v>
      </c>
    </row>
    <row r="289" ht="25.5" spans="1:10">
      <c r="A289" s="354" t="s">
        <v>522</v>
      </c>
      <c r="B289" s="342">
        <v>1</v>
      </c>
      <c r="C289" s="343">
        <v>4</v>
      </c>
      <c r="D289" s="343">
        <f>C290</f>
        <v>160</v>
      </c>
      <c r="E289" s="342">
        <v>8</v>
      </c>
      <c r="F289" s="337">
        <v>1</v>
      </c>
      <c r="G289" s="355">
        <v>1132.6</v>
      </c>
      <c r="H289" s="356">
        <f>ROUND((B289/(C289*D289))*E289*(F289/G289),7)</f>
        <v>1.1e-5</v>
      </c>
      <c r="I289" s="375">
        <v>0</v>
      </c>
      <c r="J289" s="311">
        <f>ROUND(H289*I289,2)</f>
        <v>0</v>
      </c>
    </row>
    <row r="290" spans="1:10">
      <c r="A290" s="357" t="s">
        <v>523</v>
      </c>
      <c r="B290" s="342">
        <v>1</v>
      </c>
      <c r="C290" s="347">
        <f>'Qtd postos 20%'!C18</f>
        <v>160</v>
      </c>
      <c r="D290" s="347"/>
      <c r="E290" s="342">
        <v>8</v>
      </c>
      <c r="F290" s="358">
        <v>1</v>
      </c>
      <c r="G290" s="359">
        <v>1132.6</v>
      </c>
      <c r="H290" s="360">
        <f>ROUND((B290/C290)*E290*(F290/G290),7)</f>
        <v>4.41e-5</v>
      </c>
      <c r="I290" s="376">
        <f>J208</f>
        <v>4231.58338329601</v>
      </c>
      <c r="J290" s="377">
        <f>ROUND(H290*I290,2)</f>
        <v>0.19</v>
      </c>
    </row>
    <row r="291" ht="14.65" customHeight="1" spans="1:10">
      <c r="A291" s="238" t="s">
        <v>466</v>
      </c>
      <c r="B291" s="238"/>
      <c r="C291" s="238"/>
      <c r="D291" s="238"/>
      <c r="E291" s="238"/>
      <c r="F291" s="238"/>
      <c r="G291" s="238"/>
      <c r="H291" s="238"/>
      <c r="I291" s="238"/>
      <c r="J291" s="374">
        <f>SUM(J289+J290)</f>
        <v>0.19</v>
      </c>
    </row>
    <row r="292" spans="1:10">
      <c r="A292" s="349"/>
      <c r="B292" s="349"/>
      <c r="C292" s="349"/>
      <c r="D292" s="349"/>
      <c r="E292" s="349"/>
      <c r="F292" s="349"/>
      <c r="G292" s="349"/>
      <c r="H292" s="349"/>
      <c r="I292" s="349"/>
      <c r="J292" s="349"/>
    </row>
    <row r="293" ht="14.65" customHeight="1" spans="1:10">
      <c r="A293" s="223" t="s">
        <v>524</v>
      </c>
      <c r="B293" s="223"/>
      <c r="C293" s="223"/>
      <c r="D293" s="223"/>
      <c r="E293" s="223"/>
      <c r="F293" s="223"/>
      <c r="G293" s="223"/>
      <c r="H293" s="223"/>
      <c r="I293" s="223"/>
      <c r="J293" s="223"/>
    </row>
    <row r="294" spans="1:10">
      <c r="A294" s="349"/>
      <c r="B294" s="349"/>
      <c r="C294" s="349"/>
      <c r="D294" s="349"/>
      <c r="E294" s="349"/>
      <c r="F294" s="349"/>
      <c r="G294" s="349"/>
      <c r="H294" s="349"/>
      <c r="I294" s="349"/>
      <c r="J294" s="349"/>
    </row>
    <row r="295" spans="1:10">
      <c r="A295" s="361" t="s">
        <v>525</v>
      </c>
      <c r="B295" s="361"/>
      <c r="C295" s="361"/>
      <c r="D295" s="361"/>
      <c r="E295" s="361"/>
      <c r="F295" s="361"/>
      <c r="G295" s="361"/>
      <c r="H295" s="361"/>
      <c r="I295" s="361"/>
      <c r="J295" s="361"/>
    </row>
    <row r="296" spans="1:10">
      <c r="A296" s="361"/>
      <c r="B296" s="361"/>
      <c r="C296" s="361"/>
      <c r="D296" s="361"/>
      <c r="E296" s="361"/>
      <c r="F296" s="361"/>
      <c r="G296" s="361"/>
      <c r="H296" s="361"/>
      <c r="I296" s="361"/>
      <c r="J296" s="361"/>
    </row>
    <row r="297" ht="39" customHeight="1" spans="1:10">
      <c r="A297" s="210" t="s">
        <v>526</v>
      </c>
      <c r="B297" s="210"/>
      <c r="C297" s="210"/>
      <c r="D297" s="210" t="s">
        <v>461</v>
      </c>
      <c r="E297" s="210"/>
      <c r="F297" s="210"/>
      <c r="G297" s="210" t="s">
        <v>527</v>
      </c>
      <c r="H297" s="210"/>
      <c r="I297" s="210" t="s">
        <v>463</v>
      </c>
      <c r="J297" s="210"/>
    </row>
    <row r="298" ht="14.65" customHeight="1" spans="1:10">
      <c r="A298" s="219" t="s">
        <v>528</v>
      </c>
      <c r="B298" s="219"/>
      <c r="C298" s="219"/>
      <c r="D298" s="321">
        <v>1</v>
      </c>
      <c r="E298" s="362">
        <v>30</v>
      </c>
      <c r="F298" s="362">
        <f>E299</f>
        <v>0</v>
      </c>
      <c r="G298" s="363">
        <v>0</v>
      </c>
      <c r="H298" s="363"/>
      <c r="I298" s="311">
        <v>0</v>
      </c>
      <c r="J298" s="311"/>
    </row>
    <row r="299" ht="14.65" customHeight="1" spans="1:10">
      <c r="A299" s="219" t="s">
        <v>529</v>
      </c>
      <c r="B299" s="219"/>
      <c r="C299" s="219"/>
      <c r="D299" s="321">
        <v>1</v>
      </c>
      <c r="E299" s="364">
        <f>'Qtd postos 20%'!C19</f>
        <v>0</v>
      </c>
      <c r="F299" s="364"/>
      <c r="G299" s="363">
        <v>0</v>
      </c>
      <c r="H299" s="363"/>
      <c r="I299" s="311">
        <v>0</v>
      </c>
      <c r="J299" s="311"/>
    </row>
    <row r="300" ht="14.65" customHeight="1" spans="1:10">
      <c r="A300" s="238" t="s">
        <v>466</v>
      </c>
      <c r="B300" s="238"/>
      <c r="C300" s="238"/>
      <c r="D300" s="238"/>
      <c r="E300" s="238"/>
      <c r="F300" s="238"/>
      <c r="G300" s="238"/>
      <c r="H300" s="238"/>
      <c r="I300" s="233">
        <f>SUM(I298+I299)</f>
        <v>0</v>
      </c>
      <c r="J300" s="233"/>
    </row>
    <row r="301" ht="14.65" customHeight="1" spans="1:10">
      <c r="A301" s="349"/>
      <c r="B301" s="349"/>
      <c r="C301" s="349"/>
      <c r="D301" s="349"/>
      <c r="E301" s="349"/>
      <c r="F301" s="349"/>
      <c r="G301" s="349"/>
      <c r="H301" s="349"/>
      <c r="I301" s="349"/>
      <c r="J301" s="349"/>
    </row>
    <row r="302" ht="14.65" customHeight="1" spans="1:10">
      <c r="A302" s="223" t="s">
        <v>530</v>
      </c>
      <c r="B302" s="223"/>
      <c r="C302" s="223"/>
      <c r="D302" s="223"/>
      <c r="E302" s="223"/>
      <c r="F302" s="223"/>
      <c r="G302" s="223"/>
      <c r="H302" s="223"/>
      <c r="I302" s="223"/>
      <c r="J302" s="223"/>
    </row>
    <row r="303" ht="14.65" customHeight="1" spans="1:10">
      <c r="A303" s="349"/>
      <c r="B303" s="349"/>
      <c r="C303" s="349"/>
      <c r="D303" s="349"/>
      <c r="E303" s="349"/>
      <c r="F303" s="349"/>
      <c r="G303" s="349"/>
      <c r="H303" s="349"/>
      <c r="I303" s="349"/>
      <c r="J303" s="349"/>
    </row>
    <row r="304" ht="17" customHeight="1" spans="1:10">
      <c r="A304" s="223"/>
      <c r="B304" s="223"/>
      <c r="C304" s="223"/>
      <c r="D304" s="223"/>
      <c r="E304" s="223"/>
      <c r="F304" s="223"/>
      <c r="G304" s="223"/>
      <c r="H304" s="223"/>
      <c r="I304" s="223"/>
      <c r="J304" s="223"/>
    </row>
    <row r="305" ht="17.1" customHeight="1" spans="1:10">
      <c r="A305" s="365" t="s">
        <v>531</v>
      </c>
      <c r="B305" s="365"/>
      <c r="C305" s="365"/>
      <c r="D305" s="365"/>
      <c r="E305" s="365"/>
      <c r="F305" s="365"/>
      <c r="G305" s="365"/>
      <c r="H305" s="365"/>
      <c r="I305" s="365"/>
      <c r="J305" s="365"/>
    </row>
    <row r="306" ht="27.6" customHeight="1" spans="1:10">
      <c r="A306" s="220" t="s">
        <v>19</v>
      </c>
      <c r="B306" s="220"/>
      <c r="C306" s="220"/>
      <c r="D306" s="220"/>
      <c r="E306" s="220"/>
      <c r="F306" s="210" t="s">
        <v>532</v>
      </c>
      <c r="G306" s="210"/>
      <c r="H306" s="210" t="s">
        <v>533</v>
      </c>
      <c r="I306" s="210" t="s">
        <v>534</v>
      </c>
      <c r="J306" s="210"/>
    </row>
    <row r="307" ht="14.65" customHeight="1" spans="1:10">
      <c r="A307" s="366" t="s">
        <v>274</v>
      </c>
      <c r="B307" s="366"/>
      <c r="C307" s="366"/>
      <c r="D307" s="366"/>
      <c r="E307" s="366"/>
      <c r="F307" s="367">
        <f>I215</f>
        <v>3.53</v>
      </c>
      <c r="G307" s="367"/>
      <c r="H307" s="368">
        <f>I13</f>
        <v>1033.84</v>
      </c>
      <c r="I307" s="275">
        <f t="shared" ref="I307:I313" si="2">ROUND(F307*H307,2)</f>
        <v>3649.46</v>
      </c>
      <c r="J307" s="275"/>
    </row>
    <row r="308" ht="14.65" customHeight="1" spans="1:10">
      <c r="A308" s="366" t="s">
        <v>276</v>
      </c>
      <c r="B308" s="366"/>
      <c r="C308" s="366"/>
      <c r="D308" s="366"/>
      <c r="E308" s="366"/>
      <c r="F308" s="367">
        <f>I219</f>
        <v>1.18</v>
      </c>
      <c r="G308" s="367"/>
      <c r="H308" s="368">
        <f t="shared" ref="H307:H314" si="3">I14</f>
        <v>9507.89</v>
      </c>
      <c r="I308" s="275">
        <f t="shared" si="2"/>
        <v>11219.31</v>
      </c>
      <c r="J308" s="275"/>
    </row>
    <row r="309" ht="14.65" customHeight="1" spans="1:10">
      <c r="A309" s="366" t="s">
        <v>277</v>
      </c>
      <c r="B309" s="366"/>
      <c r="C309" s="366"/>
      <c r="D309" s="366"/>
      <c r="E309" s="366"/>
      <c r="F309" s="367">
        <f>I223</f>
        <v>7.05</v>
      </c>
      <c r="G309" s="367"/>
      <c r="H309" s="368">
        <f t="shared" si="3"/>
        <v>2609.18</v>
      </c>
      <c r="I309" s="275">
        <f t="shared" si="2"/>
        <v>18394.72</v>
      </c>
      <c r="J309" s="275"/>
    </row>
    <row r="310" ht="14.65" customHeight="1" spans="1:10">
      <c r="A310" s="366" t="s">
        <v>278</v>
      </c>
      <c r="B310" s="366"/>
      <c r="C310" s="366"/>
      <c r="D310" s="366"/>
      <c r="E310" s="366"/>
      <c r="F310" s="367">
        <f>I227</f>
        <v>2.17</v>
      </c>
      <c r="G310" s="367"/>
      <c r="H310" s="368">
        <f t="shared" si="3"/>
        <v>4812.8</v>
      </c>
      <c r="I310" s="275">
        <f t="shared" si="2"/>
        <v>10443.78</v>
      </c>
      <c r="J310" s="275"/>
    </row>
    <row r="311" ht="14.65" customHeight="1" spans="1:10">
      <c r="A311" s="366" t="s">
        <v>535</v>
      </c>
      <c r="B311" s="366"/>
      <c r="C311" s="366"/>
      <c r="D311" s="366"/>
      <c r="E311" s="366"/>
      <c r="F311" s="367">
        <f>I231</f>
        <v>0</v>
      </c>
      <c r="G311" s="367"/>
      <c r="H311" s="368">
        <f t="shared" si="3"/>
        <v>0</v>
      </c>
      <c r="I311" s="275">
        <f t="shared" si="2"/>
        <v>0</v>
      </c>
      <c r="J311" s="275"/>
    </row>
    <row r="312" ht="14.65" customHeight="1" spans="1:10">
      <c r="A312" s="369" t="s">
        <v>280</v>
      </c>
      <c r="B312" s="369"/>
      <c r="C312" s="369"/>
      <c r="D312" s="369"/>
      <c r="E312" s="369"/>
      <c r="F312" s="367">
        <f>I235</f>
        <v>1.41</v>
      </c>
      <c r="G312" s="367"/>
      <c r="H312" s="368">
        <f t="shared" si="3"/>
        <v>909.25</v>
      </c>
      <c r="I312" s="275">
        <f t="shared" si="2"/>
        <v>1282.04</v>
      </c>
      <c r="J312" s="275"/>
    </row>
    <row r="313" ht="14.65" customHeight="1" spans="1:10">
      <c r="A313" s="203" t="s">
        <v>536</v>
      </c>
      <c r="B313" s="203"/>
      <c r="C313" s="203"/>
      <c r="D313" s="203"/>
      <c r="E313" s="203"/>
      <c r="F313" s="270">
        <f>I239</f>
        <v>0</v>
      </c>
      <c r="G313" s="270"/>
      <c r="H313" s="370">
        <f t="shared" si="3"/>
        <v>0</v>
      </c>
      <c r="I313" s="275">
        <f t="shared" si="2"/>
        <v>0</v>
      </c>
      <c r="J313" s="275"/>
    </row>
    <row r="314" ht="14.65" customHeight="1" spans="1:10">
      <c r="A314" s="371" t="s">
        <v>285</v>
      </c>
      <c r="B314" s="371"/>
      <c r="C314" s="371"/>
      <c r="D314" s="371"/>
      <c r="E314" s="371"/>
      <c r="F314" s="371"/>
      <c r="G314" s="371"/>
      <c r="H314" s="372">
        <f t="shared" si="3"/>
        <v>18872.96</v>
      </c>
      <c r="I314" s="233">
        <f>SUM(I307:I313)</f>
        <v>44989.31</v>
      </c>
      <c r="J314" s="233"/>
    </row>
    <row r="315" ht="14.65" customHeight="1" spans="1:10">
      <c r="A315" s="349"/>
      <c r="B315" s="349"/>
      <c r="C315" s="349"/>
      <c r="D315" s="349"/>
      <c r="E315" s="349"/>
      <c r="F315" s="349"/>
      <c r="G315" s="349"/>
      <c r="H315" s="349"/>
      <c r="I315" s="349"/>
      <c r="J315" s="349"/>
    </row>
    <row r="316" ht="27.6" customHeight="1" spans="1:10">
      <c r="A316" s="369" t="s">
        <v>286</v>
      </c>
      <c r="B316" s="369"/>
      <c r="C316" s="369"/>
      <c r="D316" s="369"/>
      <c r="E316" s="369"/>
      <c r="F316" s="270">
        <f>I246</f>
        <v>1.57</v>
      </c>
      <c r="G316" s="270"/>
      <c r="H316" s="275">
        <f t="shared" ref="H316:H322" si="4">J22</f>
        <v>741.56</v>
      </c>
      <c r="I316" s="275">
        <f t="shared" ref="I316:I321" si="5">ROUND(F316*H316,2)</f>
        <v>1164.25</v>
      </c>
      <c r="J316" s="275"/>
    </row>
    <row r="317" ht="14.65" customHeight="1" spans="1:10">
      <c r="A317" s="369" t="s">
        <v>537</v>
      </c>
      <c r="B317" s="369"/>
      <c r="C317" s="369"/>
      <c r="D317" s="369"/>
      <c r="E317" s="369"/>
      <c r="F317" s="270">
        <f>I250</f>
        <v>0.47</v>
      </c>
      <c r="G317" s="270"/>
      <c r="H317" s="275">
        <f t="shared" si="4"/>
        <v>0</v>
      </c>
      <c r="I317" s="275">
        <f t="shared" si="5"/>
        <v>0</v>
      </c>
      <c r="J317" s="275"/>
    </row>
    <row r="318" ht="14.65" customHeight="1" spans="1:10">
      <c r="A318" s="369" t="s">
        <v>538</v>
      </c>
      <c r="B318" s="369"/>
      <c r="C318" s="369"/>
      <c r="D318" s="369"/>
      <c r="E318" s="369"/>
      <c r="F318" s="270">
        <f>I254</f>
        <v>1.57</v>
      </c>
      <c r="G318" s="270"/>
      <c r="H318" s="275">
        <f t="shared" si="4"/>
        <v>0</v>
      </c>
      <c r="I318" s="275">
        <f t="shared" si="5"/>
        <v>0</v>
      </c>
      <c r="J318" s="275"/>
    </row>
    <row r="319" ht="14.65" customHeight="1" spans="1:10">
      <c r="A319" s="369" t="s">
        <v>539</v>
      </c>
      <c r="B319" s="369"/>
      <c r="C319" s="369"/>
      <c r="D319" s="369"/>
      <c r="E319" s="369"/>
      <c r="F319" s="270">
        <f>I258</f>
        <v>1.57</v>
      </c>
      <c r="G319" s="270"/>
      <c r="H319" s="275">
        <f t="shared" si="4"/>
        <v>0</v>
      </c>
      <c r="I319" s="275">
        <f t="shared" si="5"/>
        <v>0</v>
      </c>
      <c r="J319" s="275"/>
    </row>
    <row r="320" ht="14.65" customHeight="1" spans="1:10">
      <c r="A320" s="369" t="s">
        <v>540</v>
      </c>
      <c r="B320" s="369"/>
      <c r="C320" s="369"/>
      <c r="D320" s="369"/>
      <c r="E320" s="369"/>
      <c r="F320" s="270">
        <f>I262</f>
        <v>1.77</v>
      </c>
      <c r="G320" s="270"/>
      <c r="H320" s="275">
        <f t="shared" si="4"/>
        <v>494.55</v>
      </c>
      <c r="I320" s="275">
        <f t="shared" si="5"/>
        <v>875.35</v>
      </c>
      <c r="J320" s="275"/>
    </row>
    <row r="321" ht="25.9" customHeight="1" spans="1:10">
      <c r="A321" s="378" t="s">
        <v>541</v>
      </c>
      <c r="B321" s="378"/>
      <c r="C321" s="378"/>
      <c r="D321" s="378"/>
      <c r="E321" s="378"/>
      <c r="F321" s="270">
        <f>I266</f>
        <v>0.04</v>
      </c>
      <c r="G321" s="270"/>
      <c r="H321" s="275">
        <f t="shared" si="4"/>
        <v>0</v>
      </c>
      <c r="I321" s="275">
        <f t="shared" si="5"/>
        <v>0</v>
      </c>
      <c r="J321" s="275"/>
    </row>
    <row r="322" ht="14.65" customHeight="1" spans="1:10">
      <c r="A322" s="371" t="s">
        <v>292</v>
      </c>
      <c r="B322" s="371"/>
      <c r="C322" s="371"/>
      <c r="D322" s="371"/>
      <c r="E322" s="371"/>
      <c r="F322" s="371"/>
      <c r="G322" s="371"/>
      <c r="H322" s="379">
        <f t="shared" si="4"/>
        <v>1236.11</v>
      </c>
      <c r="I322" s="233">
        <f>SUM(I316:I321)</f>
        <v>2039.6</v>
      </c>
      <c r="J322" s="233"/>
    </row>
    <row r="323" ht="14.65" customHeight="1" spans="1:10">
      <c r="A323" s="349"/>
      <c r="B323" s="349"/>
      <c r="C323" s="349"/>
      <c r="D323" s="349"/>
      <c r="E323" s="349"/>
      <c r="F323" s="349"/>
      <c r="G323" s="349"/>
      <c r="H323" s="349"/>
      <c r="I323" s="349"/>
      <c r="J323" s="349"/>
    </row>
    <row r="324" ht="27.6" customHeight="1" spans="1:10">
      <c r="A324" s="380" t="s">
        <v>293</v>
      </c>
      <c r="B324" s="380"/>
      <c r="C324" s="380"/>
      <c r="D324" s="380"/>
      <c r="E324" s="380"/>
      <c r="F324" s="270">
        <f>J274</f>
        <v>2.24</v>
      </c>
      <c r="G324" s="270"/>
      <c r="H324" s="370">
        <f t="shared" ref="H324:H327" si="6">J30</f>
        <v>735.34</v>
      </c>
      <c r="I324" s="275">
        <v>1647.16</v>
      </c>
      <c r="J324" s="275"/>
    </row>
    <row r="325" ht="14.65" customHeight="1" spans="1:10">
      <c r="A325" s="380" t="s">
        <v>542</v>
      </c>
      <c r="B325" s="380"/>
      <c r="C325" s="380"/>
      <c r="D325" s="380"/>
      <c r="E325" s="380"/>
      <c r="F325" s="270">
        <f>J278</f>
        <v>0.72</v>
      </c>
      <c r="G325" s="270"/>
      <c r="H325" s="370">
        <f t="shared" si="6"/>
        <v>760.32</v>
      </c>
      <c r="I325" s="275">
        <f>ROUND((F325*H325),2)</f>
        <v>547.43</v>
      </c>
      <c r="J325" s="275"/>
    </row>
    <row r="326" ht="14.65" customHeight="1" spans="1:10">
      <c r="A326" s="380" t="s">
        <v>543</v>
      </c>
      <c r="B326" s="380"/>
      <c r="C326" s="380"/>
      <c r="D326" s="380"/>
      <c r="E326" s="380"/>
      <c r="F326" s="270">
        <f>J282</f>
        <v>0.72</v>
      </c>
      <c r="G326" s="270"/>
      <c r="H326" s="370">
        <f t="shared" si="6"/>
        <v>1863.68</v>
      </c>
      <c r="I326" s="275">
        <f>ROUND((F326*H326),2)</f>
        <v>1341.85</v>
      </c>
      <c r="J326" s="275"/>
    </row>
    <row r="327" ht="14.65" customHeight="1" spans="1:10">
      <c r="A327" s="371" t="s">
        <v>544</v>
      </c>
      <c r="B327" s="371"/>
      <c r="C327" s="371"/>
      <c r="D327" s="371"/>
      <c r="E327" s="371"/>
      <c r="F327" s="371"/>
      <c r="G327" s="371"/>
      <c r="H327" s="372">
        <f t="shared" si="6"/>
        <v>3359.34</v>
      </c>
      <c r="I327" s="233">
        <f>SUM(I324:I326)</f>
        <v>3536.44</v>
      </c>
      <c r="J327" s="233"/>
    </row>
    <row r="328" ht="14.65" customHeight="1" spans="1:10">
      <c r="A328" s="349"/>
      <c r="B328" s="349"/>
      <c r="C328" s="349"/>
      <c r="D328" s="349"/>
      <c r="E328" s="349"/>
      <c r="F328" s="349"/>
      <c r="G328" s="349"/>
      <c r="H328" s="349"/>
      <c r="I328" s="349"/>
      <c r="J328" s="349"/>
    </row>
    <row r="329" ht="14.65" customHeight="1" spans="1:10">
      <c r="A329" s="203" t="s">
        <v>545</v>
      </c>
      <c r="B329" s="203"/>
      <c r="C329" s="203"/>
      <c r="D329" s="203"/>
      <c r="E329" s="203"/>
      <c r="F329" s="367">
        <f>J290</f>
        <v>0.19</v>
      </c>
      <c r="G329" s="367"/>
      <c r="H329" s="381">
        <f>J36</f>
        <v>428</v>
      </c>
      <c r="I329" s="373">
        <f>ROUND(F329*H329,2)</f>
        <v>81.32</v>
      </c>
      <c r="J329" s="373"/>
    </row>
    <row r="330" ht="14.65" customHeight="1" spans="1:10">
      <c r="A330" s="371" t="s">
        <v>546</v>
      </c>
      <c r="B330" s="371"/>
      <c r="C330" s="371"/>
      <c r="D330" s="371"/>
      <c r="E330" s="371"/>
      <c r="F330" s="371"/>
      <c r="G330" s="371"/>
      <c r="H330" s="372">
        <f>H329</f>
        <v>428</v>
      </c>
      <c r="I330" s="233">
        <f>I329</f>
        <v>81.32</v>
      </c>
      <c r="J330" s="233"/>
    </row>
    <row r="331" ht="14.65" customHeight="1" spans="1:10">
      <c r="A331" s="349"/>
      <c r="B331" s="349"/>
      <c r="C331" s="349"/>
      <c r="D331" s="349"/>
      <c r="E331" s="349"/>
      <c r="F331" s="349"/>
      <c r="G331" s="349"/>
      <c r="H331" s="349"/>
      <c r="I331" s="349"/>
      <c r="J331" s="349"/>
    </row>
    <row r="332" spans="1:10">
      <c r="A332" s="366" t="s">
        <v>299</v>
      </c>
      <c r="B332" s="366"/>
      <c r="C332" s="366"/>
      <c r="D332" s="366"/>
      <c r="E332" s="366"/>
      <c r="F332" s="351"/>
      <c r="G332" s="351"/>
      <c r="H332" s="368">
        <v>0</v>
      </c>
      <c r="I332" s="275">
        <v>0</v>
      </c>
      <c r="J332" s="275"/>
    </row>
    <row r="333" ht="14.65" customHeight="1" spans="1:10">
      <c r="A333" s="382" t="s">
        <v>547</v>
      </c>
      <c r="B333" s="382"/>
      <c r="C333" s="382"/>
      <c r="D333" s="382"/>
      <c r="E333" s="382"/>
      <c r="F333" s="382"/>
      <c r="G333" s="382"/>
      <c r="H333" s="381">
        <f>J37</f>
        <v>0</v>
      </c>
      <c r="I333" s="373">
        <f>J332</f>
        <v>0</v>
      </c>
      <c r="J333" s="373"/>
    </row>
    <row r="334" spans="1:10">
      <c r="A334" s="349"/>
      <c r="B334" s="349"/>
      <c r="C334" s="349"/>
      <c r="D334" s="349"/>
      <c r="E334" s="349"/>
      <c r="F334" s="349"/>
      <c r="G334" s="349"/>
      <c r="H334" s="349"/>
      <c r="I334" s="349"/>
      <c r="J334" s="349"/>
    </row>
    <row r="335" ht="14.65" customHeight="1" spans="1:10">
      <c r="A335" s="369" t="s">
        <v>301</v>
      </c>
      <c r="B335" s="369"/>
      <c r="C335" s="369"/>
      <c r="D335" s="369"/>
      <c r="E335" s="369"/>
      <c r="F335" s="369"/>
      <c r="G335" s="369"/>
      <c r="H335" s="368">
        <f>J39</f>
        <v>0</v>
      </c>
      <c r="I335" s="275">
        <f>J335</f>
        <v>0</v>
      </c>
      <c r="J335" s="275"/>
    </row>
    <row r="336" ht="14.65" customHeight="1" spans="1:10">
      <c r="A336" s="383" t="s">
        <v>302</v>
      </c>
      <c r="B336" s="383"/>
      <c r="C336" s="383"/>
      <c r="D336" s="383"/>
      <c r="E336" s="383"/>
      <c r="F336" s="383"/>
      <c r="G336" s="383"/>
      <c r="H336" s="381">
        <v>0</v>
      </c>
      <c r="I336" s="373">
        <f>I335</f>
        <v>0</v>
      </c>
      <c r="J336" s="373"/>
    </row>
    <row r="337" ht="14.65" customHeight="1" spans="1:10">
      <c r="A337" s="349"/>
      <c r="B337" s="349"/>
      <c r="C337" s="349"/>
      <c r="D337" s="349"/>
      <c r="E337" s="349"/>
      <c r="F337" s="349"/>
      <c r="G337" s="349"/>
      <c r="H337" s="349"/>
      <c r="I337" s="349"/>
      <c r="J337" s="349"/>
    </row>
    <row r="338" ht="14.65" customHeight="1" spans="1:10">
      <c r="A338" s="382" t="s">
        <v>466</v>
      </c>
      <c r="B338" s="382"/>
      <c r="C338" s="382"/>
      <c r="D338" s="382"/>
      <c r="E338" s="382"/>
      <c r="F338" s="382"/>
      <c r="G338" s="382"/>
      <c r="H338" s="381">
        <f>ROUND(H314+H322+H327+H330+H333+H336,2)</f>
        <v>23896.41</v>
      </c>
      <c r="I338" s="373">
        <f>SUM(I314+I322+I327+I330+I333+I336)</f>
        <v>50646.67</v>
      </c>
      <c r="J338" s="373"/>
    </row>
    <row r="339" spans="1:10">
      <c r="A339" s="349"/>
      <c r="B339" s="349"/>
      <c r="C339" s="349"/>
      <c r="D339" s="349"/>
      <c r="E339" s="349"/>
      <c r="F339" s="349"/>
      <c r="G339" s="349"/>
      <c r="H339" s="349"/>
      <c r="I339" s="349"/>
      <c r="J339" s="349"/>
    </row>
    <row r="340" ht="20.1" customHeight="1" spans="1:10">
      <c r="A340" s="384" t="s">
        <v>548</v>
      </c>
      <c r="B340" s="384"/>
      <c r="C340" s="384"/>
      <c r="D340" s="384"/>
      <c r="E340" s="384"/>
      <c r="F340" s="384"/>
      <c r="G340" s="384"/>
      <c r="H340" s="384"/>
      <c r="I340" s="388">
        <f>I338</f>
        <v>50646.67</v>
      </c>
      <c r="J340" s="388"/>
    </row>
    <row r="341" spans="1:10">
      <c r="A341" s="349"/>
      <c r="B341" s="349"/>
      <c r="C341" s="349"/>
      <c r="D341" s="349"/>
      <c r="E341" s="349"/>
      <c r="F341" s="349"/>
      <c r="G341" s="349"/>
      <c r="H341" s="349"/>
      <c r="I341" s="349"/>
      <c r="J341" s="349"/>
    </row>
    <row r="342" ht="20.1" customHeight="1" spans="1:10">
      <c r="A342" s="385" t="s">
        <v>549</v>
      </c>
      <c r="B342" s="385"/>
      <c r="C342" s="385"/>
      <c r="D342" s="385"/>
      <c r="E342" s="385"/>
      <c r="F342" s="385"/>
      <c r="G342" s="385"/>
      <c r="H342" s="385"/>
      <c r="I342" s="388">
        <f>H10</f>
        <v>20</v>
      </c>
      <c r="J342" s="388"/>
    </row>
    <row r="343" spans="1:10">
      <c r="A343" s="349"/>
      <c r="B343" s="349"/>
      <c r="C343" s="349"/>
      <c r="D343" s="349"/>
      <c r="E343" s="349"/>
      <c r="F343" s="349"/>
      <c r="G343" s="349"/>
      <c r="H343" s="349"/>
      <c r="I343" s="349"/>
      <c r="J343" s="349"/>
    </row>
    <row r="344" ht="20.1" customHeight="1" spans="1:10">
      <c r="A344" s="386" t="s">
        <v>550</v>
      </c>
      <c r="B344" s="386"/>
      <c r="C344" s="386"/>
      <c r="D344" s="386"/>
      <c r="E344" s="386"/>
      <c r="F344" s="386"/>
      <c r="G344" s="386"/>
      <c r="H344" s="386"/>
      <c r="I344" s="388">
        <f>ROUND(I338*I342,2)</f>
        <v>1012933.4</v>
      </c>
      <c r="J344" s="388"/>
    </row>
    <row r="345" spans="1:10">
      <c r="A345" s="349"/>
      <c r="B345" s="349"/>
      <c r="C345" s="349"/>
      <c r="D345" s="349"/>
      <c r="E345" s="349"/>
      <c r="F345" s="349"/>
      <c r="G345" s="349"/>
      <c r="H345" s="349"/>
      <c r="I345" s="349"/>
      <c r="J345" s="349"/>
    </row>
    <row r="346" ht="14.65" customHeight="1" spans="1:10">
      <c r="A346" s="203" t="s">
        <v>551</v>
      </c>
      <c r="B346" s="203"/>
      <c r="C346" s="203"/>
      <c r="D346" s="203"/>
      <c r="E346" s="203"/>
      <c r="F346" s="203"/>
      <c r="G346" s="203"/>
      <c r="H346" s="203"/>
      <c r="I346" s="203"/>
      <c r="J346" s="203"/>
    </row>
    <row r="347" spans="1:10">
      <c r="A347" s="220" t="s">
        <v>552</v>
      </c>
      <c r="B347" s="220"/>
      <c r="C347" s="220"/>
      <c r="D347" s="220"/>
      <c r="E347" s="220"/>
      <c r="F347" s="220"/>
      <c r="G347" s="220" t="s">
        <v>553</v>
      </c>
      <c r="H347" s="220"/>
      <c r="I347" s="220"/>
      <c r="J347" s="220"/>
    </row>
    <row r="348" spans="1:10">
      <c r="A348" s="219" t="s">
        <v>554</v>
      </c>
      <c r="B348" s="219"/>
      <c r="C348" s="219"/>
      <c r="D348" s="219"/>
      <c r="E348" s="219"/>
      <c r="F348" s="219"/>
      <c r="G348" s="217"/>
      <c r="H348" s="217"/>
      <c r="I348" s="217"/>
      <c r="J348" s="217"/>
    </row>
    <row r="349" spans="1:10">
      <c r="A349" s="219" t="s">
        <v>555</v>
      </c>
      <c r="B349" s="219"/>
      <c r="C349" s="219"/>
      <c r="D349" s="219"/>
      <c r="E349" s="219"/>
      <c r="F349" s="219"/>
      <c r="G349" s="217"/>
      <c r="H349" s="217"/>
      <c r="I349" s="217"/>
      <c r="J349" s="217"/>
    </row>
    <row r="350" spans="1:10">
      <c r="A350" s="349"/>
      <c r="B350" s="349"/>
      <c r="C350" s="349"/>
      <c r="D350" s="349"/>
      <c r="E350" s="349"/>
      <c r="F350" s="349"/>
      <c r="G350" s="349"/>
      <c r="H350" s="349"/>
      <c r="I350" s="349"/>
      <c r="J350" s="349"/>
    </row>
    <row r="351" ht="27.6" customHeight="1" spans="1:10">
      <c r="A351" s="203" t="s">
        <v>556</v>
      </c>
      <c r="B351" s="203"/>
      <c r="C351" s="203"/>
      <c r="D351" s="203"/>
      <c r="E351" s="203"/>
      <c r="F351" s="203"/>
      <c r="G351" s="203"/>
      <c r="H351" s="203"/>
      <c r="I351" s="203"/>
      <c r="J351" s="203"/>
    </row>
    <row r="352" ht="14.65" customHeight="1" spans="1:10">
      <c r="A352" s="210" t="s">
        <v>557</v>
      </c>
      <c r="B352" s="210"/>
      <c r="C352" s="210"/>
      <c r="D352" s="210"/>
      <c r="E352" s="210"/>
      <c r="F352" s="210"/>
      <c r="G352" s="210"/>
      <c r="H352" s="210"/>
      <c r="I352" s="210"/>
      <c r="J352" s="210" t="s">
        <v>558</v>
      </c>
    </row>
    <row r="353" ht="15" spans="1:10">
      <c r="A353" s="387"/>
      <c r="B353" s="387"/>
      <c r="C353" s="387"/>
      <c r="D353" s="387"/>
      <c r="E353" s="387"/>
      <c r="F353" s="387"/>
      <c r="G353" s="387"/>
      <c r="H353" s="387"/>
      <c r="I353" s="387"/>
      <c r="J353" s="207"/>
    </row>
    <row r="354" spans="1:10">
      <c r="A354" s="366"/>
      <c r="B354" s="366"/>
      <c r="C354" s="366"/>
      <c r="D354" s="366"/>
      <c r="E354" s="366"/>
      <c r="F354" s="366"/>
      <c r="G354" s="366"/>
      <c r="H354" s="366"/>
      <c r="I354" s="366"/>
      <c r="J354" s="207"/>
    </row>
    <row r="355" spans="1:10">
      <c r="A355" s="380"/>
      <c r="B355" s="380"/>
      <c r="C355" s="380"/>
      <c r="D355" s="380"/>
      <c r="E355" s="380"/>
      <c r="F355" s="380"/>
      <c r="G355" s="380"/>
      <c r="H355" s="380"/>
      <c r="I355" s="380"/>
      <c r="J355" s="207"/>
    </row>
  </sheetData>
  <mergeCells count="540"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A50:J50"/>
    <mergeCell ref="B51:G51"/>
    <mergeCell ref="H51:J51"/>
    <mergeCell ref="B52:G52"/>
    <mergeCell ref="H52:J52"/>
    <mergeCell ref="B53:G53"/>
    <mergeCell ref="H53:J53"/>
    <mergeCell ref="B54:G54"/>
    <mergeCell ref="H54:J54"/>
    <mergeCell ref="B55:G55"/>
    <mergeCell ref="H55:J55"/>
    <mergeCell ref="A56:J56"/>
    <mergeCell ref="A57:J57"/>
    <mergeCell ref="A58:J58"/>
    <mergeCell ref="A59:J59"/>
    <mergeCell ref="B60:G60"/>
    <mergeCell ref="H60:I60"/>
    <mergeCell ref="B61:I61"/>
    <mergeCell ref="B62:I62"/>
    <mergeCell ref="B63:H63"/>
    <mergeCell ref="B64:I64"/>
    <mergeCell ref="B65:I65"/>
    <mergeCell ref="B66:I66"/>
    <mergeCell ref="B67:I67"/>
    <mergeCell ref="A68:I68"/>
    <mergeCell ref="A69:J69"/>
    <mergeCell ref="A70:J70"/>
    <mergeCell ref="A71:J71"/>
    <mergeCell ref="A72:J72"/>
    <mergeCell ref="A73:J73"/>
    <mergeCell ref="B74:I74"/>
    <mergeCell ref="B75:I75"/>
    <mergeCell ref="B76:I76"/>
    <mergeCell ref="A77:I77"/>
    <mergeCell ref="B78:I78"/>
    <mergeCell ref="A79:I79"/>
    <mergeCell ref="A80:J80"/>
    <mergeCell ref="A81:J81"/>
    <mergeCell ref="A82:J82"/>
    <mergeCell ref="A83:J83"/>
    <mergeCell ref="B84:H84"/>
    <mergeCell ref="B85:H85"/>
    <mergeCell ref="B86:H86"/>
    <mergeCell ref="B87:D87"/>
    <mergeCell ref="B88:H88"/>
    <mergeCell ref="B89:H89"/>
    <mergeCell ref="B90:H90"/>
    <mergeCell ref="B91:H91"/>
    <mergeCell ref="B92:H92"/>
    <mergeCell ref="A93:H93"/>
    <mergeCell ref="A94:J94"/>
    <mergeCell ref="A95:J95"/>
    <mergeCell ref="A96:J96"/>
    <mergeCell ref="A97:J97"/>
    <mergeCell ref="B98:I98"/>
    <mergeCell ref="B99:I99"/>
    <mergeCell ref="B100:H100"/>
    <mergeCell ref="B101:H101"/>
    <mergeCell ref="B102:H102"/>
    <mergeCell ref="B103:I103"/>
    <mergeCell ref="B104:H104"/>
    <mergeCell ref="B105:H105"/>
    <mergeCell ref="B106:H106"/>
    <mergeCell ref="B107:I107"/>
    <mergeCell ref="B108:I108"/>
    <mergeCell ref="B109:I109"/>
    <mergeCell ref="B110:I110"/>
    <mergeCell ref="B111:I111"/>
    <mergeCell ref="A112:I112"/>
    <mergeCell ref="A113:J113"/>
    <mergeCell ref="A114:J114"/>
    <mergeCell ref="A115:J115"/>
    <mergeCell ref="A116:J116"/>
    <mergeCell ref="B117:I117"/>
    <mergeCell ref="B118:I118"/>
    <mergeCell ref="B119:I119"/>
    <mergeCell ref="B120:I120"/>
    <mergeCell ref="A121:I121"/>
    <mergeCell ref="A122:J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A131:I131"/>
    <mergeCell ref="A132:J132"/>
    <mergeCell ref="A133:J133"/>
    <mergeCell ref="A134:J134"/>
    <mergeCell ref="A135:I135"/>
    <mergeCell ref="A136:J136"/>
    <mergeCell ref="B137:I137"/>
    <mergeCell ref="B138:I138"/>
    <mergeCell ref="B139:I139"/>
    <mergeCell ref="B140:I140"/>
    <mergeCell ref="B141:I141"/>
    <mergeCell ref="B142:I142"/>
    <mergeCell ref="B143:I143"/>
    <mergeCell ref="A144:I144"/>
    <mergeCell ref="B145:I145"/>
    <mergeCell ref="A146:I146"/>
    <mergeCell ref="A147:J147"/>
    <mergeCell ref="A148:J148"/>
    <mergeCell ref="A149:J149"/>
    <mergeCell ref="B150:I150"/>
    <mergeCell ref="B151:I151"/>
    <mergeCell ref="A152:I152"/>
    <mergeCell ref="B153:I153"/>
    <mergeCell ref="A154:I154"/>
    <mergeCell ref="A155:J155"/>
    <mergeCell ref="A156:J156"/>
    <mergeCell ref="A157:J157"/>
    <mergeCell ref="A158:J158"/>
    <mergeCell ref="B159:I159"/>
    <mergeCell ref="B160:I160"/>
    <mergeCell ref="B161:I161"/>
    <mergeCell ref="A162:I162"/>
    <mergeCell ref="A163:J163"/>
    <mergeCell ref="A164:J164"/>
    <mergeCell ref="B165:I165"/>
    <mergeCell ref="B166:I166"/>
    <mergeCell ref="B167:I167"/>
    <mergeCell ref="B168:I168"/>
    <mergeCell ref="B169:I169"/>
    <mergeCell ref="A170:I170"/>
    <mergeCell ref="A171:J171"/>
    <mergeCell ref="A172:J172"/>
    <mergeCell ref="A173:J173"/>
    <mergeCell ref="A174:J174"/>
    <mergeCell ref="B175:H175"/>
    <mergeCell ref="A176:H176"/>
    <mergeCell ref="B177:H177"/>
    <mergeCell ref="A178:H178"/>
    <mergeCell ref="B179:H179"/>
    <mergeCell ref="A180:H180"/>
    <mergeCell ref="B181:H181"/>
    <mergeCell ref="L181:M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A190:I190"/>
    <mergeCell ref="A191:J191"/>
    <mergeCell ref="A192:H192"/>
    <mergeCell ref="D193:J193"/>
    <mergeCell ref="D194:J194"/>
    <mergeCell ref="D195:J195"/>
    <mergeCell ref="A196:J196"/>
    <mergeCell ref="A197:J197"/>
    <mergeCell ref="A198:J198"/>
    <mergeCell ref="A199:J199"/>
    <mergeCell ref="A200:I200"/>
    <mergeCell ref="B201:I201"/>
    <mergeCell ref="B202:I202"/>
    <mergeCell ref="B203:I203"/>
    <mergeCell ref="B204:I204"/>
    <mergeCell ref="B205:I205"/>
    <mergeCell ref="A206:I206"/>
    <mergeCell ref="B207:I207"/>
    <mergeCell ref="A208:I208"/>
    <mergeCell ref="A209:J209"/>
    <mergeCell ref="A210:J210"/>
    <mergeCell ref="A211:J211"/>
    <mergeCell ref="A212:C212"/>
    <mergeCell ref="D212:F212"/>
    <mergeCell ref="G212:H212"/>
    <mergeCell ref="I212:J212"/>
    <mergeCell ref="A213:C213"/>
    <mergeCell ref="G213:H213"/>
    <mergeCell ref="I213:J213"/>
    <mergeCell ref="A214:C214"/>
    <mergeCell ref="E214:F214"/>
    <mergeCell ref="G214:H214"/>
    <mergeCell ref="I214:J214"/>
    <mergeCell ref="A215:H215"/>
    <mergeCell ref="I215:J215"/>
    <mergeCell ref="A216:J216"/>
    <mergeCell ref="A217:C217"/>
    <mergeCell ref="G217:H217"/>
    <mergeCell ref="I217:J217"/>
    <mergeCell ref="A218:C218"/>
    <mergeCell ref="E218:F218"/>
    <mergeCell ref="G218:H218"/>
    <mergeCell ref="I218:J218"/>
    <mergeCell ref="A219:H219"/>
    <mergeCell ref="I219:J219"/>
    <mergeCell ref="A220:J220"/>
    <mergeCell ref="A221:C221"/>
    <mergeCell ref="G221:H221"/>
    <mergeCell ref="I221:J221"/>
    <mergeCell ref="A222:C222"/>
    <mergeCell ref="E222:F222"/>
    <mergeCell ref="G222:H222"/>
    <mergeCell ref="I222:J222"/>
    <mergeCell ref="A223:H223"/>
    <mergeCell ref="I223:J223"/>
    <mergeCell ref="A224:J224"/>
    <mergeCell ref="A225:C225"/>
    <mergeCell ref="G225:H225"/>
    <mergeCell ref="I225:J225"/>
    <mergeCell ref="A226:C226"/>
    <mergeCell ref="E226:F226"/>
    <mergeCell ref="G226:H226"/>
    <mergeCell ref="I226:J226"/>
    <mergeCell ref="A227:H227"/>
    <mergeCell ref="I227:J227"/>
    <mergeCell ref="A228:J228"/>
    <mergeCell ref="A229:C229"/>
    <mergeCell ref="G229:H229"/>
    <mergeCell ref="I229:J229"/>
    <mergeCell ref="A230:C230"/>
    <mergeCell ref="E230:F230"/>
    <mergeCell ref="G230:H230"/>
    <mergeCell ref="I230:J230"/>
    <mergeCell ref="A231:H231"/>
    <mergeCell ref="I231:J231"/>
    <mergeCell ref="A232:J232"/>
    <mergeCell ref="A233:C233"/>
    <mergeCell ref="G233:H233"/>
    <mergeCell ref="I233:J233"/>
    <mergeCell ref="A234:C234"/>
    <mergeCell ref="E234:F234"/>
    <mergeCell ref="G234:H234"/>
    <mergeCell ref="I234:J234"/>
    <mergeCell ref="A235:H235"/>
    <mergeCell ref="I235:J235"/>
    <mergeCell ref="A236:J236"/>
    <mergeCell ref="A237:C237"/>
    <mergeCell ref="G237:H237"/>
    <mergeCell ref="I237:J237"/>
    <mergeCell ref="A238:C238"/>
    <mergeCell ref="E238:F238"/>
    <mergeCell ref="G238:H238"/>
    <mergeCell ref="I238:J238"/>
    <mergeCell ref="A239:H239"/>
    <mergeCell ref="I239:J239"/>
    <mergeCell ref="A240:J240"/>
    <mergeCell ref="A241:J241"/>
    <mergeCell ref="A242:J242"/>
    <mergeCell ref="A243:J243"/>
    <mergeCell ref="A244:C244"/>
    <mergeCell ref="D244:F244"/>
    <mergeCell ref="G244:H244"/>
    <mergeCell ref="I244:J244"/>
    <mergeCell ref="A245:C245"/>
    <mergeCell ref="G245:H245"/>
    <mergeCell ref="I245:J245"/>
    <mergeCell ref="A246:C246"/>
    <mergeCell ref="E246:F246"/>
    <mergeCell ref="G246:H246"/>
    <mergeCell ref="I246:J246"/>
    <mergeCell ref="A247:H247"/>
    <mergeCell ref="I247:J247"/>
    <mergeCell ref="A248:J248"/>
    <mergeCell ref="A249:C249"/>
    <mergeCell ref="G249:H249"/>
    <mergeCell ref="I249:J249"/>
    <mergeCell ref="A250:C250"/>
    <mergeCell ref="E250:F250"/>
    <mergeCell ref="G250:H250"/>
    <mergeCell ref="I250:J250"/>
    <mergeCell ref="A251:H251"/>
    <mergeCell ref="I251:J251"/>
    <mergeCell ref="A252:J252"/>
    <mergeCell ref="A253:C253"/>
    <mergeCell ref="G253:H253"/>
    <mergeCell ref="I253:J253"/>
    <mergeCell ref="A254:C254"/>
    <mergeCell ref="E254:F254"/>
    <mergeCell ref="G254:H254"/>
    <mergeCell ref="I254:J254"/>
    <mergeCell ref="A255:H255"/>
    <mergeCell ref="I255:J255"/>
    <mergeCell ref="A256:J256"/>
    <mergeCell ref="A257:C257"/>
    <mergeCell ref="G257:H257"/>
    <mergeCell ref="I257:J257"/>
    <mergeCell ref="A258:C258"/>
    <mergeCell ref="E258:F258"/>
    <mergeCell ref="G258:H258"/>
    <mergeCell ref="I258:J258"/>
    <mergeCell ref="A259:H259"/>
    <mergeCell ref="I259:J259"/>
    <mergeCell ref="A260:J260"/>
    <mergeCell ref="A261:C261"/>
    <mergeCell ref="G261:H261"/>
    <mergeCell ref="I261:J261"/>
    <mergeCell ref="A262:C262"/>
    <mergeCell ref="E262:F262"/>
    <mergeCell ref="G262:H262"/>
    <mergeCell ref="I262:J262"/>
    <mergeCell ref="A263:H263"/>
    <mergeCell ref="I263:J263"/>
    <mergeCell ref="A264:J264"/>
    <mergeCell ref="A265:C265"/>
    <mergeCell ref="G265:H265"/>
    <mergeCell ref="I265:J265"/>
    <mergeCell ref="A266:C266"/>
    <mergeCell ref="E266:F266"/>
    <mergeCell ref="G266:H266"/>
    <mergeCell ref="I266:J266"/>
    <mergeCell ref="A267:H267"/>
    <mergeCell ref="I267:J267"/>
    <mergeCell ref="A268:J268"/>
    <mergeCell ref="A269:J269"/>
    <mergeCell ref="A270:J270"/>
    <mergeCell ref="A271:J271"/>
    <mergeCell ref="B272:D272"/>
    <mergeCell ref="F272:G272"/>
    <mergeCell ref="C274:D274"/>
    <mergeCell ref="A275:I275"/>
    <mergeCell ref="A276:J276"/>
    <mergeCell ref="C278:D278"/>
    <mergeCell ref="A279:I279"/>
    <mergeCell ref="A280:J280"/>
    <mergeCell ref="C282:D282"/>
    <mergeCell ref="A283:I283"/>
    <mergeCell ref="A284:J284"/>
    <mergeCell ref="A285:J285"/>
    <mergeCell ref="A286:J286"/>
    <mergeCell ref="A287:J287"/>
    <mergeCell ref="B288:D288"/>
    <mergeCell ref="F288:G288"/>
    <mergeCell ref="C290:D290"/>
    <mergeCell ref="A291:I291"/>
    <mergeCell ref="A292:J292"/>
    <mergeCell ref="A293:J293"/>
    <mergeCell ref="A294:J294"/>
    <mergeCell ref="A297:C297"/>
    <mergeCell ref="D297:F297"/>
    <mergeCell ref="G297:H297"/>
    <mergeCell ref="I297:J297"/>
    <mergeCell ref="A298:C298"/>
    <mergeCell ref="G298:H298"/>
    <mergeCell ref="I298:J298"/>
    <mergeCell ref="A299:C299"/>
    <mergeCell ref="E299:F299"/>
    <mergeCell ref="G299:H299"/>
    <mergeCell ref="I299:J299"/>
    <mergeCell ref="A300:H300"/>
    <mergeCell ref="I300:J300"/>
    <mergeCell ref="A301:J301"/>
    <mergeCell ref="A302:J302"/>
    <mergeCell ref="A303:J303"/>
    <mergeCell ref="A304:J304"/>
    <mergeCell ref="A305:J305"/>
    <mergeCell ref="A306:E306"/>
    <mergeCell ref="F306:G306"/>
    <mergeCell ref="I306:J306"/>
    <mergeCell ref="A307:E307"/>
    <mergeCell ref="F307:G307"/>
    <mergeCell ref="I307:J307"/>
    <mergeCell ref="A308:E308"/>
    <mergeCell ref="F308:G308"/>
    <mergeCell ref="I308:J308"/>
    <mergeCell ref="A309:E309"/>
    <mergeCell ref="F309:G309"/>
    <mergeCell ref="I309:J309"/>
    <mergeCell ref="A310:E310"/>
    <mergeCell ref="F310:G310"/>
    <mergeCell ref="I310:J310"/>
    <mergeCell ref="A311:E311"/>
    <mergeCell ref="F311:G311"/>
    <mergeCell ref="I311:J311"/>
    <mergeCell ref="A312:E312"/>
    <mergeCell ref="F312:G312"/>
    <mergeCell ref="I312:J312"/>
    <mergeCell ref="A313:E313"/>
    <mergeCell ref="F313:G313"/>
    <mergeCell ref="I313:J313"/>
    <mergeCell ref="A314:G314"/>
    <mergeCell ref="I314:J314"/>
    <mergeCell ref="A315:J315"/>
    <mergeCell ref="A316:E316"/>
    <mergeCell ref="F316:G316"/>
    <mergeCell ref="I316:J316"/>
    <mergeCell ref="A317:E317"/>
    <mergeCell ref="F317:G317"/>
    <mergeCell ref="I317:J317"/>
    <mergeCell ref="A318:E318"/>
    <mergeCell ref="F318:G318"/>
    <mergeCell ref="I318:J318"/>
    <mergeCell ref="A319:E319"/>
    <mergeCell ref="F319:G319"/>
    <mergeCell ref="I319:J319"/>
    <mergeCell ref="A320:E320"/>
    <mergeCell ref="F320:G320"/>
    <mergeCell ref="I320:J320"/>
    <mergeCell ref="A321:E321"/>
    <mergeCell ref="F321:G321"/>
    <mergeCell ref="I321:J321"/>
    <mergeCell ref="A322:G322"/>
    <mergeCell ref="I322:J322"/>
    <mergeCell ref="A323:J323"/>
    <mergeCell ref="A324:E324"/>
    <mergeCell ref="F324:G324"/>
    <mergeCell ref="I324:J324"/>
    <mergeCell ref="A325:E325"/>
    <mergeCell ref="F325:G325"/>
    <mergeCell ref="I325:J325"/>
    <mergeCell ref="A326:E326"/>
    <mergeCell ref="F326:G326"/>
    <mergeCell ref="I326:J326"/>
    <mergeCell ref="A327:G327"/>
    <mergeCell ref="I327:J327"/>
    <mergeCell ref="A328:J328"/>
    <mergeCell ref="A329:E329"/>
    <mergeCell ref="F329:G329"/>
    <mergeCell ref="I329:J329"/>
    <mergeCell ref="A330:G330"/>
    <mergeCell ref="I330:J330"/>
    <mergeCell ref="A331:J331"/>
    <mergeCell ref="A332:E332"/>
    <mergeCell ref="F332:G332"/>
    <mergeCell ref="I332:J332"/>
    <mergeCell ref="A333:G333"/>
    <mergeCell ref="I333:J333"/>
    <mergeCell ref="A334:J334"/>
    <mergeCell ref="A335:G335"/>
    <mergeCell ref="I335:J335"/>
    <mergeCell ref="A336:G336"/>
    <mergeCell ref="I336:J336"/>
    <mergeCell ref="A337:J337"/>
    <mergeCell ref="A338:G338"/>
    <mergeCell ref="I338:J338"/>
    <mergeCell ref="A339:J339"/>
    <mergeCell ref="A340:H340"/>
    <mergeCell ref="I340:J340"/>
    <mergeCell ref="A341:J341"/>
    <mergeCell ref="A342:H342"/>
    <mergeCell ref="I342:J342"/>
    <mergeCell ref="A343:J343"/>
    <mergeCell ref="A344:H344"/>
    <mergeCell ref="I344:J344"/>
    <mergeCell ref="A345:J345"/>
    <mergeCell ref="A346:J346"/>
    <mergeCell ref="A347:F347"/>
    <mergeCell ref="G347:J347"/>
    <mergeCell ref="A348:F348"/>
    <mergeCell ref="G348:J348"/>
    <mergeCell ref="A349:F349"/>
    <mergeCell ref="G349:J349"/>
    <mergeCell ref="A350:J350"/>
    <mergeCell ref="A351:J351"/>
    <mergeCell ref="A352:I352"/>
    <mergeCell ref="A353:I353"/>
    <mergeCell ref="A354:I354"/>
    <mergeCell ref="A355:I355"/>
    <mergeCell ref="A193:C195"/>
    <mergeCell ref="A295:J296"/>
  </mergeCells>
  <printOptions horizontalCentered="1"/>
  <pageMargins left="0.393055555555556" right="0.393055555555556" top="0.393055555555556" bottom="0.0784722222222222" header="0.275" footer="2.47986111111111"/>
  <pageSetup paperSize="9" scale="75" orientation="landscape" horizontalDpi="300" verticalDpi="300"/>
  <headerFooter alignWithMargins="0"/>
  <rowBreaks count="7" manualBreakCount="7">
    <brk id="58" max="16383" man="1"/>
    <brk id="131" max="9" man="1"/>
    <brk id="164" max="16383" man="1"/>
    <brk id="215" max="16383" man="1"/>
    <brk id="263" max="16383" man="1"/>
    <brk id="293" max="16383" man="1"/>
    <brk id="334" max="16383" man="1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9" tint="-0.249977111117893"/>
  </sheetPr>
  <dimension ref="A1:Q355"/>
  <sheetViews>
    <sheetView showGridLines="0" workbookViewId="0">
      <selection activeCell="R349" sqref="R349"/>
    </sheetView>
  </sheetViews>
  <sheetFormatPr defaultColWidth="9.14285714285714" defaultRowHeight="12.75"/>
  <cols>
    <col min="1" max="1" width="15.2857142857143" style="199" customWidth="1"/>
    <col min="2" max="2" width="11.1428571428571" style="199" customWidth="1"/>
    <col min="3" max="3" width="13.2857142857143" style="199" customWidth="1"/>
    <col min="4" max="4" width="10.1428571428571" style="199" customWidth="1"/>
    <col min="5" max="5" width="12.4285714285714" style="199" customWidth="1"/>
    <col min="6" max="6" width="11.2857142857143" style="199" customWidth="1"/>
    <col min="7" max="7" width="9.85714285714286" style="199" customWidth="1"/>
    <col min="8" max="8" width="13.4285714285714" style="199" customWidth="1"/>
    <col min="9" max="9" width="14.5714285714286" style="199" customWidth="1"/>
    <col min="10" max="10" width="11.5714285714286" style="199" customWidth="1"/>
    <col min="11" max="11" width="11.1428571428571" style="199" hidden="1" customWidth="1"/>
    <col min="12" max="12" width="7.42857142857143" style="199" hidden="1" customWidth="1"/>
    <col min="13" max="13" width="6.57142857142857" style="199" hidden="1" customWidth="1"/>
    <col min="14" max="14" width="9.14285714285714" style="199" hidden="1" customWidth="1"/>
    <col min="15" max="15" width="9.28571428571429" style="199" hidden="1" customWidth="1"/>
    <col min="16" max="16" width="9.14285714285714" style="199" hidden="1" customWidth="1"/>
    <col min="17" max="256" width="9.14285714285714" style="199"/>
    <col min="257" max="257" width="15.2857142857143" style="199" customWidth="1"/>
    <col min="258" max="258" width="11.1428571428571" style="199" customWidth="1"/>
    <col min="259" max="259" width="13.2857142857143" style="199" customWidth="1"/>
    <col min="260" max="260" width="10.1428571428571" style="199" customWidth="1"/>
    <col min="261" max="261" width="12.4285714285714" style="199" customWidth="1"/>
    <col min="262" max="262" width="11.2857142857143" style="199" customWidth="1"/>
    <col min="263" max="263" width="9.85714285714286" style="199" customWidth="1"/>
    <col min="264" max="264" width="13.4285714285714" style="199" customWidth="1"/>
    <col min="265" max="265" width="14.5714285714286" style="199" customWidth="1"/>
    <col min="266" max="266" width="11.5714285714286" style="199" customWidth="1"/>
    <col min="267" max="267" width="11.1428571428571" style="199" customWidth="1"/>
    <col min="268" max="268" width="7.42857142857143" style="199" customWidth="1"/>
    <col min="269" max="269" width="6.57142857142857" style="199" customWidth="1"/>
    <col min="270" max="271" width="9.28571428571429" style="199" customWidth="1"/>
    <col min="272" max="512" width="9.14285714285714" style="199"/>
    <col min="513" max="513" width="15.2857142857143" style="199" customWidth="1"/>
    <col min="514" max="514" width="11.1428571428571" style="199" customWidth="1"/>
    <col min="515" max="515" width="13.2857142857143" style="199" customWidth="1"/>
    <col min="516" max="516" width="10.1428571428571" style="199" customWidth="1"/>
    <col min="517" max="517" width="12.4285714285714" style="199" customWidth="1"/>
    <col min="518" max="518" width="11.2857142857143" style="199" customWidth="1"/>
    <col min="519" max="519" width="9.85714285714286" style="199" customWidth="1"/>
    <col min="520" max="520" width="13.4285714285714" style="199" customWidth="1"/>
    <col min="521" max="521" width="14.5714285714286" style="199" customWidth="1"/>
    <col min="522" max="522" width="11.5714285714286" style="199" customWidth="1"/>
    <col min="523" max="523" width="11.1428571428571" style="199" customWidth="1"/>
    <col min="524" max="524" width="7.42857142857143" style="199" customWidth="1"/>
    <col min="525" max="525" width="6.57142857142857" style="199" customWidth="1"/>
    <col min="526" max="527" width="9.28571428571429" style="199" customWidth="1"/>
    <col min="528" max="768" width="9.14285714285714" style="199"/>
    <col min="769" max="769" width="15.2857142857143" style="199" customWidth="1"/>
    <col min="770" max="770" width="11.1428571428571" style="199" customWidth="1"/>
    <col min="771" max="771" width="13.2857142857143" style="199" customWidth="1"/>
    <col min="772" max="772" width="10.1428571428571" style="199" customWidth="1"/>
    <col min="773" max="773" width="12.4285714285714" style="199" customWidth="1"/>
    <col min="774" max="774" width="11.2857142857143" style="199" customWidth="1"/>
    <col min="775" max="775" width="9.85714285714286" style="199" customWidth="1"/>
    <col min="776" max="776" width="13.4285714285714" style="199" customWidth="1"/>
    <col min="777" max="777" width="14.5714285714286" style="199" customWidth="1"/>
    <col min="778" max="778" width="11.5714285714286" style="199" customWidth="1"/>
    <col min="779" max="779" width="11.1428571428571" style="199" customWidth="1"/>
    <col min="780" max="780" width="7.42857142857143" style="199" customWidth="1"/>
    <col min="781" max="781" width="6.57142857142857" style="199" customWidth="1"/>
    <col min="782" max="783" width="9.28571428571429" style="199" customWidth="1"/>
    <col min="784" max="1024" width="9.14285714285714" style="199"/>
    <col min="1025" max="1025" width="15.2857142857143" style="199" customWidth="1"/>
    <col min="1026" max="1026" width="11.1428571428571" style="199" customWidth="1"/>
    <col min="1027" max="1027" width="13.2857142857143" style="199" customWidth="1"/>
    <col min="1028" max="1028" width="10.1428571428571" style="199" customWidth="1"/>
    <col min="1029" max="1029" width="12.4285714285714" style="199" customWidth="1"/>
    <col min="1030" max="1030" width="11.2857142857143" style="199" customWidth="1"/>
    <col min="1031" max="1031" width="9.85714285714286" style="199" customWidth="1"/>
    <col min="1032" max="1032" width="13.4285714285714" style="199" customWidth="1"/>
    <col min="1033" max="1033" width="14.5714285714286" style="199" customWidth="1"/>
    <col min="1034" max="1034" width="11.5714285714286" style="199" customWidth="1"/>
    <col min="1035" max="1035" width="11.1428571428571" style="199" customWidth="1"/>
    <col min="1036" max="1036" width="7.42857142857143" style="199" customWidth="1"/>
    <col min="1037" max="1037" width="6.57142857142857" style="199" customWidth="1"/>
    <col min="1038" max="1039" width="9.28571428571429" style="199" customWidth="1"/>
    <col min="1040" max="1280" width="9.14285714285714" style="199"/>
    <col min="1281" max="1281" width="15.2857142857143" style="199" customWidth="1"/>
    <col min="1282" max="1282" width="11.1428571428571" style="199" customWidth="1"/>
    <col min="1283" max="1283" width="13.2857142857143" style="199" customWidth="1"/>
    <col min="1284" max="1284" width="10.1428571428571" style="199" customWidth="1"/>
    <col min="1285" max="1285" width="12.4285714285714" style="199" customWidth="1"/>
    <col min="1286" max="1286" width="11.2857142857143" style="199" customWidth="1"/>
    <col min="1287" max="1287" width="9.85714285714286" style="199" customWidth="1"/>
    <col min="1288" max="1288" width="13.4285714285714" style="199" customWidth="1"/>
    <col min="1289" max="1289" width="14.5714285714286" style="199" customWidth="1"/>
    <col min="1290" max="1290" width="11.5714285714286" style="199" customWidth="1"/>
    <col min="1291" max="1291" width="11.1428571428571" style="199" customWidth="1"/>
    <col min="1292" max="1292" width="7.42857142857143" style="199" customWidth="1"/>
    <col min="1293" max="1293" width="6.57142857142857" style="199" customWidth="1"/>
    <col min="1294" max="1295" width="9.28571428571429" style="199" customWidth="1"/>
    <col min="1296" max="1536" width="9.14285714285714" style="199"/>
    <col min="1537" max="1537" width="15.2857142857143" style="199" customWidth="1"/>
    <col min="1538" max="1538" width="11.1428571428571" style="199" customWidth="1"/>
    <col min="1539" max="1539" width="13.2857142857143" style="199" customWidth="1"/>
    <col min="1540" max="1540" width="10.1428571428571" style="199" customWidth="1"/>
    <col min="1541" max="1541" width="12.4285714285714" style="199" customWidth="1"/>
    <col min="1542" max="1542" width="11.2857142857143" style="199" customWidth="1"/>
    <col min="1543" max="1543" width="9.85714285714286" style="199" customWidth="1"/>
    <col min="1544" max="1544" width="13.4285714285714" style="199" customWidth="1"/>
    <col min="1545" max="1545" width="14.5714285714286" style="199" customWidth="1"/>
    <col min="1546" max="1546" width="11.5714285714286" style="199" customWidth="1"/>
    <col min="1547" max="1547" width="11.1428571428571" style="199" customWidth="1"/>
    <col min="1548" max="1548" width="7.42857142857143" style="199" customWidth="1"/>
    <col min="1549" max="1549" width="6.57142857142857" style="199" customWidth="1"/>
    <col min="1550" max="1551" width="9.28571428571429" style="199" customWidth="1"/>
    <col min="1552" max="1792" width="9.14285714285714" style="199"/>
    <col min="1793" max="1793" width="15.2857142857143" style="199" customWidth="1"/>
    <col min="1794" max="1794" width="11.1428571428571" style="199" customWidth="1"/>
    <col min="1795" max="1795" width="13.2857142857143" style="199" customWidth="1"/>
    <col min="1796" max="1796" width="10.1428571428571" style="199" customWidth="1"/>
    <col min="1797" max="1797" width="12.4285714285714" style="199" customWidth="1"/>
    <col min="1798" max="1798" width="11.2857142857143" style="199" customWidth="1"/>
    <col min="1799" max="1799" width="9.85714285714286" style="199" customWidth="1"/>
    <col min="1800" max="1800" width="13.4285714285714" style="199" customWidth="1"/>
    <col min="1801" max="1801" width="14.5714285714286" style="199" customWidth="1"/>
    <col min="1802" max="1802" width="11.5714285714286" style="199" customWidth="1"/>
    <col min="1803" max="1803" width="11.1428571428571" style="199" customWidth="1"/>
    <col min="1804" max="1804" width="7.42857142857143" style="199" customWidth="1"/>
    <col min="1805" max="1805" width="6.57142857142857" style="199" customWidth="1"/>
    <col min="1806" max="1807" width="9.28571428571429" style="199" customWidth="1"/>
    <col min="1808" max="2048" width="9.14285714285714" style="199"/>
    <col min="2049" max="2049" width="15.2857142857143" style="199" customWidth="1"/>
    <col min="2050" max="2050" width="11.1428571428571" style="199" customWidth="1"/>
    <col min="2051" max="2051" width="13.2857142857143" style="199" customWidth="1"/>
    <col min="2052" max="2052" width="10.1428571428571" style="199" customWidth="1"/>
    <col min="2053" max="2053" width="12.4285714285714" style="199" customWidth="1"/>
    <col min="2054" max="2054" width="11.2857142857143" style="199" customWidth="1"/>
    <col min="2055" max="2055" width="9.85714285714286" style="199" customWidth="1"/>
    <col min="2056" max="2056" width="13.4285714285714" style="199" customWidth="1"/>
    <col min="2057" max="2057" width="14.5714285714286" style="199" customWidth="1"/>
    <col min="2058" max="2058" width="11.5714285714286" style="199" customWidth="1"/>
    <col min="2059" max="2059" width="11.1428571428571" style="199" customWidth="1"/>
    <col min="2060" max="2060" width="7.42857142857143" style="199" customWidth="1"/>
    <col min="2061" max="2061" width="6.57142857142857" style="199" customWidth="1"/>
    <col min="2062" max="2063" width="9.28571428571429" style="199" customWidth="1"/>
    <col min="2064" max="2304" width="9.14285714285714" style="199"/>
    <col min="2305" max="2305" width="15.2857142857143" style="199" customWidth="1"/>
    <col min="2306" max="2306" width="11.1428571428571" style="199" customWidth="1"/>
    <col min="2307" max="2307" width="13.2857142857143" style="199" customWidth="1"/>
    <col min="2308" max="2308" width="10.1428571428571" style="199" customWidth="1"/>
    <col min="2309" max="2309" width="12.4285714285714" style="199" customWidth="1"/>
    <col min="2310" max="2310" width="11.2857142857143" style="199" customWidth="1"/>
    <col min="2311" max="2311" width="9.85714285714286" style="199" customWidth="1"/>
    <col min="2312" max="2312" width="13.4285714285714" style="199" customWidth="1"/>
    <col min="2313" max="2313" width="14.5714285714286" style="199" customWidth="1"/>
    <col min="2314" max="2314" width="11.5714285714286" style="199" customWidth="1"/>
    <col min="2315" max="2315" width="11.1428571428571" style="199" customWidth="1"/>
    <col min="2316" max="2316" width="7.42857142857143" style="199" customWidth="1"/>
    <col min="2317" max="2317" width="6.57142857142857" style="199" customWidth="1"/>
    <col min="2318" max="2319" width="9.28571428571429" style="199" customWidth="1"/>
    <col min="2320" max="2560" width="9.14285714285714" style="199"/>
    <col min="2561" max="2561" width="15.2857142857143" style="199" customWidth="1"/>
    <col min="2562" max="2562" width="11.1428571428571" style="199" customWidth="1"/>
    <col min="2563" max="2563" width="13.2857142857143" style="199" customWidth="1"/>
    <col min="2564" max="2564" width="10.1428571428571" style="199" customWidth="1"/>
    <col min="2565" max="2565" width="12.4285714285714" style="199" customWidth="1"/>
    <col min="2566" max="2566" width="11.2857142857143" style="199" customWidth="1"/>
    <col min="2567" max="2567" width="9.85714285714286" style="199" customWidth="1"/>
    <col min="2568" max="2568" width="13.4285714285714" style="199" customWidth="1"/>
    <col min="2569" max="2569" width="14.5714285714286" style="199" customWidth="1"/>
    <col min="2570" max="2570" width="11.5714285714286" style="199" customWidth="1"/>
    <col min="2571" max="2571" width="11.1428571428571" style="199" customWidth="1"/>
    <col min="2572" max="2572" width="7.42857142857143" style="199" customWidth="1"/>
    <col min="2573" max="2573" width="6.57142857142857" style="199" customWidth="1"/>
    <col min="2574" max="2575" width="9.28571428571429" style="199" customWidth="1"/>
    <col min="2576" max="2816" width="9.14285714285714" style="199"/>
    <col min="2817" max="2817" width="15.2857142857143" style="199" customWidth="1"/>
    <col min="2818" max="2818" width="11.1428571428571" style="199" customWidth="1"/>
    <col min="2819" max="2819" width="13.2857142857143" style="199" customWidth="1"/>
    <col min="2820" max="2820" width="10.1428571428571" style="199" customWidth="1"/>
    <col min="2821" max="2821" width="12.4285714285714" style="199" customWidth="1"/>
    <col min="2822" max="2822" width="11.2857142857143" style="199" customWidth="1"/>
    <col min="2823" max="2823" width="9.85714285714286" style="199" customWidth="1"/>
    <col min="2824" max="2824" width="13.4285714285714" style="199" customWidth="1"/>
    <col min="2825" max="2825" width="14.5714285714286" style="199" customWidth="1"/>
    <col min="2826" max="2826" width="11.5714285714286" style="199" customWidth="1"/>
    <col min="2827" max="2827" width="11.1428571428571" style="199" customWidth="1"/>
    <col min="2828" max="2828" width="7.42857142857143" style="199" customWidth="1"/>
    <col min="2829" max="2829" width="6.57142857142857" style="199" customWidth="1"/>
    <col min="2830" max="2831" width="9.28571428571429" style="199" customWidth="1"/>
    <col min="2832" max="3072" width="9.14285714285714" style="199"/>
    <col min="3073" max="3073" width="15.2857142857143" style="199" customWidth="1"/>
    <col min="3074" max="3074" width="11.1428571428571" style="199" customWidth="1"/>
    <col min="3075" max="3075" width="13.2857142857143" style="199" customWidth="1"/>
    <col min="3076" max="3076" width="10.1428571428571" style="199" customWidth="1"/>
    <col min="3077" max="3077" width="12.4285714285714" style="199" customWidth="1"/>
    <col min="3078" max="3078" width="11.2857142857143" style="199" customWidth="1"/>
    <col min="3079" max="3079" width="9.85714285714286" style="199" customWidth="1"/>
    <col min="3080" max="3080" width="13.4285714285714" style="199" customWidth="1"/>
    <col min="3081" max="3081" width="14.5714285714286" style="199" customWidth="1"/>
    <col min="3082" max="3082" width="11.5714285714286" style="199" customWidth="1"/>
    <col min="3083" max="3083" width="11.1428571428571" style="199" customWidth="1"/>
    <col min="3084" max="3084" width="7.42857142857143" style="199" customWidth="1"/>
    <col min="3085" max="3085" width="6.57142857142857" style="199" customWidth="1"/>
    <col min="3086" max="3087" width="9.28571428571429" style="199" customWidth="1"/>
    <col min="3088" max="3328" width="9.14285714285714" style="199"/>
    <col min="3329" max="3329" width="15.2857142857143" style="199" customWidth="1"/>
    <col min="3330" max="3330" width="11.1428571428571" style="199" customWidth="1"/>
    <col min="3331" max="3331" width="13.2857142857143" style="199" customWidth="1"/>
    <col min="3332" max="3332" width="10.1428571428571" style="199" customWidth="1"/>
    <col min="3333" max="3333" width="12.4285714285714" style="199" customWidth="1"/>
    <col min="3334" max="3334" width="11.2857142857143" style="199" customWidth="1"/>
    <col min="3335" max="3335" width="9.85714285714286" style="199" customWidth="1"/>
    <col min="3336" max="3336" width="13.4285714285714" style="199" customWidth="1"/>
    <col min="3337" max="3337" width="14.5714285714286" style="199" customWidth="1"/>
    <col min="3338" max="3338" width="11.5714285714286" style="199" customWidth="1"/>
    <col min="3339" max="3339" width="11.1428571428571" style="199" customWidth="1"/>
    <col min="3340" max="3340" width="7.42857142857143" style="199" customWidth="1"/>
    <col min="3341" max="3341" width="6.57142857142857" style="199" customWidth="1"/>
    <col min="3342" max="3343" width="9.28571428571429" style="199" customWidth="1"/>
    <col min="3344" max="3584" width="9.14285714285714" style="199"/>
    <col min="3585" max="3585" width="15.2857142857143" style="199" customWidth="1"/>
    <col min="3586" max="3586" width="11.1428571428571" style="199" customWidth="1"/>
    <col min="3587" max="3587" width="13.2857142857143" style="199" customWidth="1"/>
    <col min="3588" max="3588" width="10.1428571428571" style="199" customWidth="1"/>
    <col min="3589" max="3589" width="12.4285714285714" style="199" customWidth="1"/>
    <col min="3590" max="3590" width="11.2857142857143" style="199" customWidth="1"/>
    <col min="3591" max="3591" width="9.85714285714286" style="199" customWidth="1"/>
    <col min="3592" max="3592" width="13.4285714285714" style="199" customWidth="1"/>
    <col min="3593" max="3593" width="14.5714285714286" style="199" customWidth="1"/>
    <col min="3594" max="3594" width="11.5714285714286" style="199" customWidth="1"/>
    <col min="3595" max="3595" width="11.1428571428571" style="199" customWidth="1"/>
    <col min="3596" max="3596" width="7.42857142857143" style="199" customWidth="1"/>
    <col min="3597" max="3597" width="6.57142857142857" style="199" customWidth="1"/>
    <col min="3598" max="3599" width="9.28571428571429" style="199" customWidth="1"/>
    <col min="3600" max="3840" width="9.14285714285714" style="199"/>
    <col min="3841" max="3841" width="15.2857142857143" style="199" customWidth="1"/>
    <col min="3842" max="3842" width="11.1428571428571" style="199" customWidth="1"/>
    <col min="3843" max="3843" width="13.2857142857143" style="199" customWidth="1"/>
    <col min="3844" max="3844" width="10.1428571428571" style="199" customWidth="1"/>
    <col min="3845" max="3845" width="12.4285714285714" style="199" customWidth="1"/>
    <col min="3846" max="3846" width="11.2857142857143" style="199" customWidth="1"/>
    <col min="3847" max="3847" width="9.85714285714286" style="199" customWidth="1"/>
    <col min="3848" max="3848" width="13.4285714285714" style="199" customWidth="1"/>
    <col min="3849" max="3849" width="14.5714285714286" style="199" customWidth="1"/>
    <col min="3850" max="3850" width="11.5714285714286" style="199" customWidth="1"/>
    <col min="3851" max="3851" width="11.1428571428571" style="199" customWidth="1"/>
    <col min="3852" max="3852" width="7.42857142857143" style="199" customWidth="1"/>
    <col min="3853" max="3853" width="6.57142857142857" style="199" customWidth="1"/>
    <col min="3854" max="3855" width="9.28571428571429" style="199" customWidth="1"/>
    <col min="3856" max="4096" width="9.14285714285714" style="199"/>
    <col min="4097" max="4097" width="15.2857142857143" style="199" customWidth="1"/>
    <col min="4098" max="4098" width="11.1428571428571" style="199" customWidth="1"/>
    <col min="4099" max="4099" width="13.2857142857143" style="199" customWidth="1"/>
    <col min="4100" max="4100" width="10.1428571428571" style="199" customWidth="1"/>
    <col min="4101" max="4101" width="12.4285714285714" style="199" customWidth="1"/>
    <col min="4102" max="4102" width="11.2857142857143" style="199" customWidth="1"/>
    <col min="4103" max="4103" width="9.85714285714286" style="199" customWidth="1"/>
    <col min="4104" max="4104" width="13.4285714285714" style="199" customWidth="1"/>
    <col min="4105" max="4105" width="14.5714285714286" style="199" customWidth="1"/>
    <col min="4106" max="4106" width="11.5714285714286" style="199" customWidth="1"/>
    <col min="4107" max="4107" width="11.1428571428571" style="199" customWidth="1"/>
    <col min="4108" max="4108" width="7.42857142857143" style="199" customWidth="1"/>
    <col min="4109" max="4109" width="6.57142857142857" style="199" customWidth="1"/>
    <col min="4110" max="4111" width="9.28571428571429" style="199" customWidth="1"/>
    <col min="4112" max="4352" width="9.14285714285714" style="199"/>
    <col min="4353" max="4353" width="15.2857142857143" style="199" customWidth="1"/>
    <col min="4354" max="4354" width="11.1428571428571" style="199" customWidth="1"/>
    <col min="4355" max="4355" width="13.2857142857143" style="199" customWidth="1"/>
    <col min="4356" max="4356" width="10.1428571428571" style="199" customWidth="1"/>
    <col min="4357" max="4357" width="12.4285714285714" style="199" customWidth="1"/>
    <col min="4358" max="4358" width="11.2857142857143" style="199" customWidth="1"/>
    <col min="4359" max="4359" width="9.85714285714286" style="199" customWidth="1"/>
    <col min="4360" max="4360" width="13.4285714285714" style="199" customWidth="1"/>
    <col min="4361" max="4361" width="14.5714285714286" style="199" customWidth="1"/>
    <col min="4362" max="4362" width="11.5714285714286" style="199" customWidth="1"/>
    <col min="4363" max="4363" width="11.1428571428571" style="199" customWidth="1"/>
    <col min="4364" max="4364" width="7.42857142857143" style="199" customWidth="1"/>
    <col min="4365" max="4365" width="6.57142857142857" style="199" customWidth="1"/>
    <col min="4366" max="4367" width="9.28571428571429" style="199" customWidth="1"/>
    <col min="4368" max="4608" width="9.14285714285714" style="199"/>
    <col min="4609" max="4609" width="15.2857142857143" style="199" customWidth="1"/>
    <col min="4610" max="4610" width="11.1428571428571" style="199" customWidth="1"/>
    <col min="4611" max="4611" width="13.2857142857143" style="199" customWidth="1"/>
    <col min="4612" max="4612" width="10.1428571428571" style="199" customWidth="1"/>
    <col min="4613" max="4613" width="12.4285714285714" style="199" customWidth="1"/>
    <col min="4614" max="4614" width="11.2857142857143" style="199" customWidth="1"/>
    <col min="4615" max="4615" width="9.85714285714286" style="199" customWidth="1"/>
    <col min="4616" max="4616" width="13.4285714285714" style="199" customWidth="1"/>
    <col min="4617" max="4617" width="14.5714285714286" style="199" customWidth="1"/>
    <col min="4618" max="4618" width="11.5714285714286" style="199" customWidth="1"/>
    <col min="4619" max="4619" width="11.1428571428571" style="199" customWidth="1"/>
    <col min="4620" max="4620" width="7.42857142857143" style="199" customWidth="1"/>
    <col min="4621" max="4621" width="6.57142857142857" style="199" customWidth="1"/>
    <col min="4622" max="4623" width="9.28571428571429" style="199" customWidth="1"/>
    <col min="4624" max="4864" width="9.14285714285714" style="199"/>
    <col min="4865" max="4865" width="15.2857142857143" style="199" customWidth="1"/>
    <col min="4866" max="4866" width="11.1428571428571" style="199" customWidth="1"/>
    <col min="4867" max="4867" width="13.2857142857143" style="199" customWidth="1"/>
    <col min="4868" max="4868" width="10.1428571428571" style="199" customWidth="1"/>
    <col min="4869" max="4869" width="12.4285714285714" style="199" customWidth="1"/>
    <col min="4870" max="4870" width="11.2857142857143" style="199" customWidth="1"/>
    <col min="4871" max="4871" width="9.85714285714286" style="199" customWidth="1"/>
    <col min="4872" max="4872" width="13.4285714285714" style="199" customWidth="1"/>
    <col min="4873" max="4873" width="14.5714285714286" style="199" customWidth="1"/>
    <col min="4874" max="4874" width="11.5714285714286" style="199" customWidth="1"/>
    <col min="4875" max="4875" width="11.1428571428571" style="199" customWidth="1"/>
    <col min="4876" max="4876" width="7.42857142857143" style="199" customWidth="1"/>
    <col min="4877" max="4877" width="6.57142857142857" style="199" customWidth="1"/>
    <col min="4878" max="4879" width="9.28571428571429" style="199" customWidth="1"/>
    <col min="4880" max="5120" width="9.14285714285714" style="199"/>
    <col min="5121" max="5121" width="15.2857142857143" style="199" customWidth="1"/>
    <col min="5122" max="5122" width="11.1428571428571" style="199" customWidth="1"/>
    <col min="5123" max="5123" width="13.2857142857143" style="199" customWidth="1"/>
    <col min="5124" max="5124" width="10.1428571428571" style="199" customWidth="1"/>
    <col min="5125" max="5125" width="12.4285714285714" style="199" customWidth="1"/>
    <col min="5126" max="5126" width="11.2857142857143" style="199" customWidth="1"/>
    <col min="5127" max="5127" width="9.85714285714286" style="199" customWidth="1"/>
    <col min="5128" max="5128" width="13.4285714285714" style="199" customWidth="1"/>
    <col min="5129" max="5129" width="14.5714285714286" style="199" customWidth="1"/>
    <col min="5130" max="5130" width="11.5714285714286" style="199" customWidth="1"/>
    <col min="5131" max="5131" width="11.1428571428571" style="199" customWidth="1"/>
    <col min="5132" max="5132" width="7.42857142857143" style="199" customWidth="1"/>
    <col min="5133" max="5133" width="6.57142857142857" style="199" customWidth="1"/>
    <col min="5134" max="5135" width="9.28571428571429" style="199" customWidth="1"/>
    <col min="5136" max="5376" width="9.14285714285714" style="199"/>
    <col min="5377" max="5377" width="15.2857142857143" style="199" customWidth="1"/>
    <col min="5378" max="5378" width="11.1428571428571" style="199" customWidth="1"/>
    <col min="5379" max="5379" width="13.2857142857143" style="199" customWidth="1"/>
    <col min="5380" max="5380" width="10.1428571428571" style="199" customWidth="1"/>
    <col min="5381" max="5381" width="12.4285714285714" style="199" customWidth="1"/>
    <col min="5382" max="5382" width="11.2857142857143" style="199" customWidth="1"/>
    <col min="5383" max="5383" width="9.85714285714286" style="199" customWidth="1"/>
    <col min="5384" max="5384" width="13.4285714285714" style="199" customWidth="1"/>
    <col min="5385" max="5385" width="14.5714285714286" style="199" customWidth="1"/>
    <col min="5386" max="5386" width="11.5714285714286" style="199" customWidth="1"/>
    <col min="5387" max="5387" width="11.1428571428571" style="199" customWidth="1"/>
    <col min="5388" max="5388" width="7.42857142857143" style="199" customWidth="1"/>
    <col min="5389" max="5389" width="6.57142857142857" style="199" customWidth="1"/>
    <col min="5390" max="5391" width="9.28571428571429" style="199" customWidth="1"/>
    <col min="5392" max="5632" width="9.14285714285714" style="199"/>
    <col min="5633" max="5633" width="15.2857142857143" style="199" customWidth="1"/>
    <col min="5634" max="5634" width="11.1428571428571" style="199" customWidth="1"/>
    <col min="5635" max="5635" width="13.2857142857143" style="199" customWidth="1"/>
    <col min="5636" max="5636" width="10.1428571428571" style="199" customWidth="1"/>
    <col min="5637" max="5637" width="12.4285714285714" style="199" customWidth="1"/>
    <col min="5638" max="5638" width="11.2857142857143" style="199" customWidth="1"/>
    <col min="5639" max="5639" width="9.85714285714286" style="199" customWidth="1"/>
    <col min="5640" max="5640" width="13.4285714285714" style="199" customWidth="1"/>
    <col min="5641" max="5641" width="14.5714285714286" style="199" customWidth="1"/>
    <col min="5642" max="5642" width="11.5714285714286" style="199" customWidth="1"/>
    <col min="5643" max="5643" width="11.1428571428571" style="199" customWidth="1"/>
    <col min="5644" max="5644" width="7.42857142857143" style="199" customWidth="1"/>
    <col min="5645" max="5645" width="6.57142857142857" style="199" customWidth="1"/>
    <col min="5646" max="5647" width="9.28571428571429" style="199" customWidth="1"/>
    <col min="5648" max="5888" width="9.14285714285714" style="199"/>
    <col min="5889" max="5889" width="15.2857142857143" style="199" customWidth="1"/>
    <col min="5890" max="5890" width="11.1428571428571" style="199" customWidth="1"/>
    <col min="5891" max="5891" width="13.2857142857143" style="199" customWidth="1"/>
    <col min="5892" max="5892" width="10.1428571428571" style="199" customWidth="1"/>
    <col min="5893" max="5893" width="12.4285714285714" style="199" customWidth="1"/>
    <col min="5894" max="5894" width="11.2857142857143" style="199" customWidth="1"/>
    <col min="5895" max="5895" width="9.85714285714286" style="199" customWidth="1"/>
    <col min="5896" max="5896" width="13.4285714285714" style="199" customWidth="1"/>
    <col min="5897" max="5897" width="14.5714285714286" style="199" customWidth="1"/>
    <col min="5898" max="5898" width="11.5714285714286" style="199" customWidth="1"/>
    <col min="5899" max="5899" width="11.1428571428571" style="199" customWidth="1"/>
    <col min="5900" max="5900" width="7.42857142857143" style="199" customWidth="1"/>
    <col min="5901" max="5901" width="6.57142857142857" style="199" customWidth="1"/>
    <col min="5902" max="5903" width="9.28571428571429" style="199" customWidth="1"/>
    <col min="5904" max="6144" width="9.14285714285714" style="199"/>
    <col min="6145" max="6145" width="15.2857142857143" style="199" customWidth="1"/>
    <col min="6146" max="6146" width="11.1428571428571" style="199" customWidth="1"/>
    <col min="6147" max="6147" width="13.2857142857143" style="199" customWidth="1"/>
    <col min="6148" max="6148" width="10.1428571428571" style="199" customWidth="1"/>
    <col min="6149" max="6149" width="12.4285714285714" style="199" customWidth="1"/>
    <col min="6150" max="6150" width="11.2857142857143" style="199" customWidth="1"/>
    <col min="6151" max="6151" width="9.85714285714286" style="199" customWidth="1"/>
    <col min="6152" max="6152" width="13.4285714285714" style="199" customWidth="1"/>
    <col min="6153" max="6153" width="14.5714285714286" style="199" customWidth="1"/>
    <col min="6154" max="6154" width="11.5714285714286" style="199" customWidth="1"/>
    <col min="6155" max="6155" width="11.1428571428571" style="199" customWidth="1"/>
    <col min="6156" max="6156" width="7.42857142857143" style="199" customWidth="1"/>
    <col min="6157" max="6157" width="6.57142857142857" style="199" customWidth="1"/>
    <col min="6158" max="6159" width="9.28571428571429" style="199" customWidth="1"/>
    <col min="6160" max="6400" width="9.14285714285714" style="199"/>
    <col min="6401" max="6401" width="15.2857142857143" style="199" customWidth="1"/>
    <col min="6402" max="6402" width="11.1428571428571" style="199" customWidth="1"/>
    <col min="6403" max="6403" width="13.2857142857143" style="199" customWidth="1"/>
    <col min="6404" max="6404" width="10.1428571428571" style="199" customWidth="1"/>
    <col min="6405" max="6405" width="12.4285714285714" style="199" customWidth="1"/>
    <col min="6406" max="6406" width="11.2857142857143" style="199" customWidth="1"/>
    <col min="6407" max="6407" width="9.85714285714286" style="199" customWidth="1"/>
    <col min="6408" max="6408" width="13.4285714285714" style="199" customWidth="1"/>
    <col min="6409" max="6409" width="14.5714285714286" style="199" customWidth="1"/>
    <col min="6410" max="6410" width="11.5714285714286" style="199" customWidth="1"/>
    <col min="6411" max="6411" width="11.1428571428571" style="199" customWidth="1"/>
    <col min="6412" max="6412" width="7.42857142857143" style="199" customWidth="1"/>
    <col min="6413" max="6413" width="6.57142857142857" style="199" customWidth="1"/>
    <col min="6414" max="6415" width="9.28571428571429" style="199" customWidth="1"/>
    <col min="6416" max="6656" width="9.14285714285714" style="199"/>
    <col min="6657" max="6657" width="15.2857142857143" style="199" customWidth="1"/>
    <col min="6658" max="6658" width="11.1428571428571" style="199" customWidth="1"/>
    <col min="6659" max="6659" width="13.2857142857143" style="199" customWidth="1"/>
    <col min="6660" max="6660" width="10.1428571428571" style="199" customWidth="1"/>
    <col min="6661" max="6661" width="12.4285714285714" style="199" customWidth="1"/>
    <col min="6662" max="6662" width="11.2857142857143" style="199" customWidth="1"/>
    <col min="6663" max="6663" width="9.85714285714286" style="199" customWidth="1"/>
    <col min="6664" max="6664" width="13.4285714285714" style="199" customWidth="1"/>
    <col min="6665" max="6665" width="14.5714285714286" style="199" customWidth="1"/>
    <col min="6666" max="6666" width="11.5714285714286" style="199" customWidth="1"/>
    <col min="6667" max="6667" width="11.1428571428571" style="199" customWidth="1"/>
    <col min="6668" max="6668" width="7.42857142857143" style="199" customWidth="1"/>
    <col min="6669" max="6669" width="6.57142857142857" style="199" customWidth="1"/>
    <col min="6670" max="6671" width="9.28571428571429" style="199" customWidth="1"/>
    <col min="6672" max="6912" width="9.14285714285714" style="199"/>
    <col min="6913" max="6913" width="15.2857142857143" style="199" customWidth="1"/>
    <col min="6914" max="6914" width="11.1428571428571" style="199" customWidth="1"/>
    <col min="6915" max="6915" width="13.2857142857143" style="199" customWidth="1"/>
    <col min="6916" max="6916" width="10.1428571428571" style="199" customWidth="1"/>
    <col min="6917" max="6917" width="12.4285714285714" style="199" customWidth="1"/>
    <col min="6918" max="6918" width="11.2857142857143" style="199" customWidth="1"/>
    <col min="6919" max="6919" width="9.85714285714286" style="199" customWidth="1"/>
    <col min="6920" max="6920" width="13.4285714285714" style="199" customWidth="1"/>
    <col min="6921" max="6921" width="14.5714285714286" style="199" customWidth="1"/>
    <col min="6922" max="6922" width="11.5714285714286" style="199" customWidth="1"/>
    <col min="6923" max="6923" width="11.1428571428571" style="199" customWidth="1"/>
    <col min="6924" max="6924" width="7.42857142857143" style="199" customWidth="1"/>
    <col min="6925" max="6925" width="6.57142857142857" style="199" customWidth="1"/>
    <col min="6926" max="6927" width="9.28571428571429" style="199" customWidth="1"/>
    <col min="6928" max="7168" width="9.14285714285714" style="199"/>
    <col min="7169" max="7169" width="15.2857142857143" style="199" customWidth="1"/>
    <col min="7170" max="7170" width="11.1428571428571" style="199" customWidth="1"/>
    <col min="7171" max="7171" width="13.2857142857143" style="199" customWidth="1"/>
    <col min="7172" max="7172" width="10.1428571428571" style="199" customWidth="1"/>
    <col min="7173" max="7173" width="12.4285714285714" style="199" customWidth="1"/>
    <col min="7174" max="7174" width="11.2857142857143" style="199" customWidth="1"/>
    <col min="7175" max="7175" width="9.85714285714286" style="199" customWidth="1"/>
    <col min="7176" max="7176" width="13.4285714285714" style="199" customWidth="1"/>
    <col min="7177" max="7177" width="14.5714285714286" style="199" customWidth="1"/>
    <col min="7178" max="7178" width="11.5714285714286" style="199" customWidth="1"/>
    <col min="7179" max="7179" width="11.1428571428571" style="199" customWidth="1"/>
    <col min="7180" max="7180" width="7.42857142857143" style="199" customWidth="1"/>
    <col min="7181" max="7181" width="6.57142857142857" style="199" customWidth="1"/>
    <col min="7182" max="7183" width="9.28571428571429" style="199" customWidth="1"/>
    <col min="7184" max="7424" width="9.14285714285714" style="199"/>
    <col min="7425" max="7425" width="15.2857142857143" style="199" customWidth="1"/>
    <col min="7426" max="7426" width="11.1428571428571" style="199" customWidth="1"/>
    <col min="7427" max="7427" width="13.2857142857143" style="199" customWidth="1"/>
    <col min="7428" max="7428" width="10.1428571428571" style="199" customWidth="1"/>
    <col min="7429" max="7429" width="12.4285714285714" style="199" customWidth="1"/>
    <col min="7430" max="7430" width="11.2857142857143" style="199" customWidth="1"/>
    <col min="7431" max="7431" width="9.85714285714286" style="199" customWidth="1"/>
    <col min="7432" max="7432" width="13.4285714285714" style="199" customWidth="1"/>
    <col min="7433" max="7433" width="14.5714285714286" style="199" customWidth="1"/>
    <col min="7434" max="7434" width="11.5714285714286" style="199" customWidth="1"/>
    <col min="7435" max="7435" width="11.1428571428571" style="199" customWidth="1"/>
    <col min="7436" max="7436" width="7.42857142857143" style="199" customWidth="1"/>
    <col min="7437" max="7437" width="6.57142857142857" style="199" customWidth="1"/>
    <col min="7438" max="7439" width="9.28571428571429" style="199" customWidth="1"/>
    <col min="7440" max="7680" width="9.14285714285714" style="199"/>
    <col min="7681" max="7681" width="15.2857142857143" style="199" customWidth="1"/>
    <col min="7682" max="7682" width="11.1428571428571" style="199" customWidth="1"/>
    <col min="7683" max="7683" width="13.2857142857143" style="199" customWidth="1"/>
    <col min="7684" max="7684" width="10.1428571428571" style="199" customWidth="1"/>
    <col min="7685" max="7685" width="12.4285714285714" style="199" customWidth="1"/>
    <col min="7686" max="7686" width="11.2857142857143" style="199" customWidth="1"/>
    <col min="7687" max="7687" width="9.85714285714286" style="199" customWidth="1"/>
    <col min="7688" max="7688" width="13.4285714285714" style="199" customWidth="1"/>
    <col min="7689" max="7689" width="14.5714285714286" style="199" customWidth="1"/>
    <col min="7690" max="7690" width="11.5714285714286" style="199" customWidth="1"/>
    <col min="7691" max="7691" width="11.1428571428571" style="199" customWidth="1"/>
    <col min="7692" max="7692" width="7.42857142857143" style="199" customWidth="1"/>
    <col min="7693" max="7693" width="6.57142857142857" style="199" customWidth="1"/>
    <col min="7694" max="7695" width="9.28571428571429" style="199" customWidth="1"/>
    <col min="7696" max="7936" width="9.14285714285714" style="199"/>
    <col min="7937" max="7937" width="15.2857142857143" style="199" customWidth="1"/>
    <col min="7938" max="7938" width="11.1428571428571" style="199" customWidth="1"/>
    <col min="7939" max="7939" width="13.2857142857143" style="199" customWidth="1"/>
    <col min="7940" max="7940" width="10.1428571428571" style="199" customWidth="1"/>
    <col min="7941" max="7941" width="12.4285714285714" style="199" customWidth="1"/>
    <col min="7942" max="7942" width="11.2857142857143" style="199" customWidth="1"/>
    <col min="7943" max="7943" width="9.85714285714286" style="199" customWidth="1"/>
    <col min="7944" max="7944" width="13.4285714285714" style="199" customWidth="1"/>
    <col min="7945" max="7945" width="14.5714285714286" style="199" customWidth="1"/>
    <col min="7946" max="7946" width="11.5714285714286" style="199" customWidth="1"/>
    <col min="7947" max="7947" width="11.1428571428571" style="199" customWidth="1"/>
    <col min="7948" max="7948" width="7.42857142857143" style="199" customWidth="1"/>
    <col min="7949" max="7949" width="6.57142857142857" style="199" customWidth="1"/>
    <col min="7950" max="7951" width="9.28571428571429" style="199" customWidth="1"/>
    <col min="7952" max="8192" width="9.14285714285714" style="199"/>
    <col min="8193" max="8193" width="15.2857142857143" style="199" customWidth="1"/>
    <col min="8194" max="8194" width="11.1428571428571" style="199" customWidth="1"/>
    <col min="8195" max="8195" width="13.2857142857143" style="199" customWidth="1"/>
    <col min="8196" max="8196" width="10.1428571428571" style="199" customWidth="1"/>
    <col min="8197" max="8197" width="12.4285714285714" style="199" customWidth="1"/>
    <col min="8198" max="8198" width="11.2857142857143" style="199" customWidth="1"/>
    <col min="8199" max="8199" width="9.85714285714286" style="199" customWidth="1"/>
    <col min="8200" max="8200" width="13.4285714285714" style="199" customWidth="1"/>
    <col min="8201" max="8201" width="14.5714285714286" style="199" customWidth="1"/>
    <col min="8202" max="8202" width="11.5714285714286" style="199" customWidth="1"/>
    <col min="8203" max="8203" width="11.1428571428571" style="199" customWidth="1"/>
    <col min="8204" max="8204" width="7.42857142857143" style="199" customWidth="1"/>
    <col min="8205" max="8205" width="6.57142857142857" style="199" customWidth="1"/>
    <col min="8206" max="8207" width="9.28571428571429" style="199" customWidth="1"/>
    <col min="8208" max="8448" width="9.14285714285714" style="199"/>
    <col min="8449" max="8449" width="15.2857142857143" style="199" customWidth="1"/>
    <col min="8450" max="8450" width="11.1428571428571" style="199" customWidth="1"/>
    <col min="8451" max="8451" width="13.2857142857143" style="199" customWidth="1"/>
    <col min="8452" max="8452" width="10.1428571428571" style="199" customWidth="1"/>
    <col min="8453" max="8453" width="12.4285714285714" style="199" customWidth="1"/>
    <col min="8454" max="8454" width="11.2857142857143" style="199" customWidth="1"/>
    <col min="8455" max="8455" width="9.85714285714286" style="199" customWidth="1"/>
    <col min="8456" max="8456" width="13.4285714285714" style="199" customWidth="1"/>
    <col min="8457" max="8457" width="14.5714285714286" style="199" customWidth="1"/>
    <col min="8458" max="8458" width="11.5714285714286" style="199" customWidth="1"/>
    <col min="8459" max="8459" width="11.1428571428571" style="199" customWidth="1"/>
    <col min="8460" max="8460" width="7.42857142857143" style="199" customWidth="1"/>
    <col min="8461" max="8461" width="6.57142857142857" style="199" customWidth="1"/>
    <col min="8462" max="8463" width="9.28571428571429" style="199" customWidth="1"/>
    <col min="8464" max="8704" width="9.14285714285714" style="199"/>
    <col min="8705" max="8705" width="15.2857142857143" style="199" customWidth="1"/>
    <col min="8706" max="8706" width="11.1428571428571" style="199" customWidth="1"/>
    <col min="8707" max="8707" width="13.2857142857143" style="199" customWidth="1"/>
    <col min="8708" max="8708" width="10.1428571428571" style="199" customWidth="1"/>
    <col min="8709" max="8709" width="12.4285714285714" style="199" customWidth="1"/>
    <col min="8710" max="8710" width="11.2857142857143" style="199" customWidth="1"/>
    <col min="8711" max="8711" width="9.85714285714286" style="199" customWidth="1"/>
    <col min="8712" max="8712" width="13.4285714285714" style="199" customWidth="1"/>
    <col min="8713" max="8713" width="14.5714285714286" style="199" customWidth="1"/>
    <col min="8714" max="8714" width="11.5714285714286" style="199" customWidth="1"/>
    <col min="8715" max="8715" width="11.1428571428571" style="199" customWidth="1"/>
    <col min="8716" max="8716" width="7.42857142857143" style="199" customWidth="1"/>
    <col min="8717" max="8717" width="6.57142857142857" style="199" customWidth="1"/>
    <col min="8718" max="8719" width="9.28571428571429" style="199" customWidth="1"/>
    <col min="8720" max="8960" width="9.14285714285714" style="199"/>
    <col min="8961" max="8961" width="15.2857142857143" style="199" customWidth="1"/>
    <col min="8962" max="8962" width="11.1428571428571" style="199" customWidth="1"/>
    <col min="8963" max="8963" width="13.2857142857143" style="199" customWidth="1"/>
    <col min="8964" max="8964" width="10.1428571428571" style="199" customWidth="1"/>
    <col min="8965" max="8965" width="12.4285714285714" style="199" customWidth="1"/>
    <col min="8966" max="8966" width="11.2857142857143" style="199" customWidth="1"/>
    <col min="8967" max="8967" width="9.85714285714286" style="199" customWidth="1"/>
    <col min="8968" max="8968" width="13.4285714285714" style="199" customWidth="1"/>
    <col min="8969" max="8969" width="14.5714285714286" style="199" customWidth="1"/>
    <col min="8970" max="8970" width="11.5714285714286" style="199" customWidth="1"/>
    <col min="8971" max="8971" width="11.1428571428571" style="199" customWidth="1"/>
    <col min="8972" max="8972" width="7.42857142857143" style="199" customWidth="1"/>
    <col min="8973" max="8973" width="6.57142857142857" style="199" customWidth="1"/>
    <col min="8974" max="8975" width="9.28571428571429" style="199" customWidth="1"/>
    <col min="8976" max="9216" width="9.14285714285714" style="199"/>
    <col min="9217" max="9217" width="15.2857142857143" style="199" customWidth="1"/>
    <col min="9218" max="9218" width="11.1428571428571" style="199" customWidth="1"/>
    <col min="9219" max="9219" width="13.2857142857143" style="199" customWidth="1"/>
    <col min="9220" max="9220" width="10.1428571428571" style="199" customWidth="1"/>
    <col min="9221" max="9221" width="12.4285714285714" style="199" customWidth="1"/>
    <col min="9222" max="9222" width="11.2857142857143" style="199" customWidth="1"/>
    <col min="9223" max="9223" width="9.85714285714286" style="199" customWidth="1"/>
    <col min="9224" max="9224" width="13.4285714285714" style="199" customWidth="1"/>
    <col min="9225" max="9225" width="14.5714285714286" style="199" customWidth="1"/>
    <col min="9226" max="9226" width="11.5714285714286" style="199" customWidth="1"/>
    <col min="9227" max="9227" width="11.1428571428571" style="199" customWidth="1"/>
    <col min="9228" max="9228" width="7.42857142857143" style="199" customWidth="1"/>
    <col min="9229" max="9229" width="6.57142857142857" style="199" customWidth="1"/>
    <col min="9230" max="9231" width="9.28571428571429" style="199" customWidth="1"/>
    <col min="9232" max="9472" width="9.14285714285714" style="199"/>
    <col min="9473" max="9473" width="15.2857142857143" style="199" customWidth="1"/>
    <col min="9474" max="9474" width="11.1428571428571" style="199" customWidth="1"/>
    <col min="9475" max="9475" width="13.2857142857143" style="199" customWidth="1"/>
    <col min="9476" max="9476" width="10.1428571428571" style="199" customWidth="1"/>
    <col min="9477" max="9477" width="12.4285714285714" style="199" customWidth="1"/>
    <col min="9478" max="9478" width="11.2857142857143" style="199" customWidth="1"/>
    <col min="9479" max="9479" width="9.85714285714286" style="199" customWidth="1"/>
    <col min="9480" max="9480" width="13.4285714285714" style="199" customWidth="1"/>
    <col min="9481" max="9481" width="14.5714285714286" style="199" customWidth="1"/>
    <col min="9482" max="9482" width="11.5714285714286" style="199" customWidth="1"/>
    <col min="9483" max="9483" width="11.1428571428571" style="199" customWidth="1"/>
    <col min="9484" max="9484" width="7.42857142857143" style="199" customWidth="1"/>
    <col min="9485" max="9485" width="6.57142857142857" style="199" customWidth="1"/>
    <col min="9486" max="9487" width="9.28571428571429" style="199" customWidth="1"/>
    <col min="9488" max="9728" width="9.14285714285714" style="199"/>
    <col min="9729" max="9729" width="15.2857142857143" style="199" customWidth="1"/>
    <col min="9730" max="9730" width="11.1428571428571" style="199" customWidth="1"/>
    <col min="9731" max="9731" width="13.2857142857143" style="199" customWidth="1"/>
    <col min="9732" max="9732" width="10.1428571428571" style="199" customWidth="1"/>
    <col min="9733" max="9733" width="12.4285714285714" style="199" customWidth="1"/>
    <col min="9734" max="9734" width="11.2857142857143" style="199" customWidth="1"/>
    <col min="9735" max="9735" width="9.85714285714286" style="199" customWidth="1"/>
    <col min="9736" max="9736" width="13.4285714285714" style="199" customWidth="1"/>
    <col min="9737" max="9737" width="14.5714285714286" style="199" customWidth="1"/>
    <col min="9738" max="9738" width="11.5714285714286" style="199" customWidth="1"/>
    <col min="9739" max="9739" width="11.1428571428571" style="199" customWidth="1"/>
    <col min="9740" max="9740" width="7.42857142857143" style="199" customWidth="1"/>
    <col min="9741" max="9741" width="6.57142857142857" style="199" customWidth="1"/>
    <col min="9742" max="9743" width="9.28571428571429" style="199" customWidth="1"/>
    <col min="9744" max="9984" width="9.14285714285714" style="199"/>
    <col min="9985" max="9985" width="15.2857142857143" style="199" customWidth="1"/>
    <col min="9986" max="9986" width="11.1428571428571" style="199" customWidth="1"/>
    <col min="9987" max="9987" width="13.2857142857143" style="199" customWidth="1"/>
    <col min="9988" max="9988" width="10.1428571428571" style="199" customWidth="1"/>
    <col min="9989" max="9989" width="12.4285714285714" style="199" customWidth="1"/>
    <col min="9990" max="9990" width="11.2857142857143" style="199" customWidth="1"/>
    <col min="9991" max="9991" width="9.85714285714286" style="199" customWidth="1"/>
    <col min="9992" max="9992" width="13.4285714285714" style="199" customWidth="1"/>
    <col min="9993" max="9993" width="14.5714285714286" style="199" customWidth="1"/>
    <col min="9994" max="9994" width="11.5714285714286" style="199" customWidth="1"/>
    <col min="9995" max="9995" width="11.1428571428571" style="199" customWidth="1"/>
    <col min="9996" max="9996" width="7.42857142857143" style="199" customWidth="1"/>
    <col min="9997" max="9997" width="6.57142857142857" style="199" customWidth="1"/>
    <col min="9998" max="9999" width="9.28571428571429" style="199" customWidth="1"/>
    <col min="10000" max="10240" width="9.14285714285714" style="199"/>
    <col min="10241" max="10241" width="15.2857142857143" style="199" customWidth="1"/>
    <col min="10242" max="10242" width="11.1428571428571" style="199" customWidth="1"/>
    <col min="10243" max="10243" width="13.2857142857143" style="199" customWidth="1"/>
    <col min="10244" max="10244" width="10.1428571428571" style="199" customWidth="1"/>
    <col min="10245" max="10245" width="12.4285714285714" style="199" customWidth="1"/>
    <col min="10246" max="10246" width="11.2857142857143" style="199" customWidth="1"/>
    <col min="10247" max="10247" width="9.85714285714286" style="199" customWidth="1"/>
    <col min="10248" max="10248" width="13.4285714285714" style="199" customWidth="1"/>
    <col min="10249" max="10249" width="14.5714285714286" style="199" customWidth="1"/>
    <col min="10250" max="10250" width="11.5714285714286" style="199" customWidth="1"/>
    <col min="10251" max="10251" width="11.1428571428571" style="199" customWidth="1"/>
    <col min="10252" max="10252" width="7.42857142857143" style="199" customWidth="1"/>
    <col min="10253" max="10253" width="6.57142857142857" style="199" customWidth="1"/>
    <col min="10254" max="10255" width="9.28571428571429" style="199" customWidth="1"/>
    <col min="10256" max="10496" width="9.14285714285714" style="199"/>
    <col min="10497" max="10497" width="15.2857142857143" style="199" customWidth="1"/>
    <col min="10498" max="10498" width="11.1428571428571" style="199" customWidth="1"/>
    <col min="10499" max="10499" width="13.2857142857143" style="199" customWidth="1"/>
    <col min="10500" max="10500" width="10.1428571428571" style="199" customWidth="1"/>
    <col min="10501" max="10501" width="12.4285714285714" style="199" customWidth="1"/>
    <col min="10502" max="10502" width="11.2857142857143" style="199" customWidth="1"/>
    <col min="10503" max="10503" width="9.85714285714286" style="199" customWidth="1"/>
    <col min="10504" max="10504" width="13.4285714285714" style="199" customWidth="1"/>
    <col min="10505" max="10505" width="14.5714285714286" style="199" customWidth="1"/>
    <col min="10506" max="10506" width="11.5714285714286" style="199" customWidth="1"/>
    <col min="10507" max="10507" width="11.1428571428571" style="199" customWidth="1"/>
    <col min="10508" max="10508" width="7.42857142857143" style="199" customWidth="1"/>
    <col min="10509" max="10509" width="6.57142857142857" style="199" customWidth="1"/>
    <col min="10510" max="10511" width="9.28571428571429" style="199" customWidth="1"/>
    <col min="10512" max="10752" width="9.14285714285714" style="199"/>
    <col min="10753" max="10753" width="15.2857142857143" style="199" customWidth="1"/>
    <col min="10754" max="10754" width="11.1428571428571" style="199" customWidth="1"/>
    <col min="10755" max="10755" width="13.2857142857143" style="199" customWidth="1"/>
    <col min="10756" max="10756" width="10.1428571428571" style="199" customWidth="1"/>
    <col min="10757" max="10757" width="12.4285714285714" style="199" customWidth="1"/>
    <col min="10758" max="10758" width="11.2857142857143" style="199" customWidth="1"/>
    <col min="10759" max="10759" width="9.85714285714286" style="199" customWidth="1"/>
    <col min="10760" max="10760" width="13.4285714285714" style="199" customWidth="1"/>
    <col min="10761" max="10761" width="14.5714285714286" style="199" customWidth="1"/>
    <col min="10762" max="10762" width="11.5714285714286" style="199" customWidth="1"/>
    <col min="10763" max="10763" width="11.1428571428571" style="199" customWidth="1"/>
    <col min="10764" max="10764" width="7.42857142857143" style="199" customWidth="1"/>
    <col min="10765" max="10765" width="6.57142857142857" style="199" customWidth="1"/>
    <col min="10766" max="10767" width="9.28571428571429" style="199" customWidth="1"/>
    <col min="10768" max="11008" width="9.14285714285714" style="199"/>
    <col min="11009" max="11009" width="15.2857142857143" style="199" customWidth="1"/>
    <col min="11010" max="11010" width="11.1428571428571" style="199" customWidth="1"/>
    <col min="11011" max="11011" width="13.2857142857143" style="199" customWidth="1"/>
    <col min="11012" max="11012" width="10.1428571428571" style="199" customWidth="1"/>
    <col min="11013" max="11013" width="12.4285714285714" style="199" customWidth="1"/>
    <col min="11014" max="11014" width="11.2857142857143" style="199" customWidth="1"/>
    <col min="11015" max="11015" width="9.85714285714286" style="199" customWidth="1"/>
    <col min="11016" max="11016" width="13.4285714285714" style="199" customWidth="1"/>
    <col min="11017" max="11017" width="14.5714285714286" style="199" customWidth="1"/>
    <col min="11018" max="11018" width="11.5714285714286" style="199" customWidth="1"/>
    <col min="11019" max="11019" width="11.1428571428571" style="199" customWidth="1"/>
    <col min="11020" max="11020" width="7.42857142857143" style="199" customWidth="1"/>
    <col min="11021" max="11021" width="6.57142857142857" style="199" customWidth="1"/>
    <col min="11022" max="11023" width="9.28571428571429" style="199" customWidth="1"/>
    <col min="11024" max="11264" width="9.14285714285714" style="199"/>
    <col min="11265" max="11265" width="15.2857142857143" style="199" customWidth="1"/>
    <col min="11266" max="11266" width="11.1428571428571" style="199" customWidth="1"/>
    <col min="11267" max="11267" width="13.2857142857143" style="199" customWidth="1"/>
    <col min="11268" max="11268" width="10.1428571428571" style="199" customWidth="1"/>
    <col min="11269" max="11269" width="12.4285714285714" style="199" customWidth="1"/>
    <col min="11270" max="11270" width="11.2857142857143" style="199" customWidth="1"/>
    <col min="11271" max="11271" width="9.85714285714286" style="199" customWidth="1"/>
    <col min="11272" max="11272" width="13.4285714285714" style="199" customWidth="1"/>
    <col min="11273" max="11273" width="14.5714285714286" style="199" customWidth="1"/>
    <col min="11274" max="11274" width="11.5714285714286" style="199" customWidth="1"/>
    <col min="11275" max="11275" width="11.1428571428571" style="199" customWidth="1"/>
    <col min="11276" max="11276" width="7.42857142857143" style="199" customWidth="1"/>
    <col min="11277" max="11277" width="6.57142857142857" style="199" customWidth="1"/>
    <col min="11278" max="11279" width="9.28571428571429" style="199" customWidth="1"/>
    <col min="11280" max="11520" width="9.14285714285714" style="199"/>
    <col min="11521" max="11521" width="15.2857142857143" style="199" customWidth="1"/>
    <col min="11522" max="11522" width="11.1428571428571" style="199" customWidth="1"/>
    <col min="11523" max="11523" width="13.2857142857143" style="199" customWidth="1"/>
    <col min="11524" max="11524" width="10.1428571428571" style="199" customWidth="1"/>
    <col min="11525" max="11525" width="12.4285714285714" style="199" customWidth="1"/>
    <col min="11526" max="11526" width="11.2857142857143" style="199" customWidth="1"/>
    <col min="11527" max="11527" width="9.85714285714286" style="199" customWidth="1"/>
    <col min="11528" max="11528" width="13.4285714285714" style="199" customWidth="1"/>
    <col min="11529" max="11529" width="14.5714285714286" style="199" customWidth="1"/>
    <col min="11530" max="11530" width="11.5714285714286" style="199" customWidth="1"/>
    <col min="11531" max="11531" width="11.1428571428571" style="199" customWidth="1"/>
    <col min="11532" max="11532" width="7.42857142857143" style="199" customWidth="1"/>
    <col min="11533" max="11533" width="6.57142857142857" style="199" customWidth="1"/>
    <col min="11534" max="11535" width="9.28571428571429" style="199" customWidth="1"/>
    <col min="11536" max="11776" width="9.14285714285714" style="199"/>
    <col min="11777" max="11777" width="15.2857142857143" style="199" customWidth="1"/>
    <col min="11778" max="11778" width="11.1428571428571" style="199" customWidth="1"/>
    <col min="11779" max="11779" width="13.2857142857143" style="199" customWidth="1"/>
    <col min="11780" max="11780" width="10.1428571428571" style="199" customWidth="1"/>
    <col min="11781" max="11781" width="12.4285714285714" style="199" customWidth="1"/>
    <col min="11782" max="11782" width="11.2857142857143" style="199" customWidth="1"/>
    <col min="11783" max="11783" width="9.85714285714286" style="199" customWidth="1"/>
    <col min="11784" max="11784" width="13.4285714285714" style="199" customWidth="1"/>
    <col min="11785" max="11785" width="14.5714285714286" style="199" customWidth="1"/>
    <col min="11786" max="11786" width="11.5714285714286" style="199" customWidth="1"/>
    <col min="11787" max="11787" width="11.1428571428571" style="199" customWidth="1"/>
    <col min="11788" max="11788" width="7.42857142857143" style="199" customWidth="1"/>
    <col min="11789" max="11789" width="6.57142857142857" style="199" customWidth="1"/>
    <col min="11790" max="11791" width="9.28571428571429" style="199" customWidth="1"/>
    <col min="11792" max="12032" width="9.14285714285714" style="199"/>
    <col min="12033" max="12033" width="15.2857142857143" style="199" customWidth="1"/>
    <col min="12034" max="12034" width="11.1428571428571" style="199" customWidth="1"/>
    <col min="12035" max="12035" width="13.2857142857143" style="199" customWidth="1"/>
    <col min="12036" max="12036" width="10.1428571428571" style="199" customWidth="1"/>
    <col min="12037" max="12037" width="12.4285714285714" style="199" customWidth="1"/>
    <col min="12038" max="12038" width="11.2857142857143" style="199" customWidth="1"/>
    <col min="12039" max="12039" width="9.85714285714286" style="199" customWidth="1"/>
    <col min="12040" max="12040" width="13.4285714285714" style="199" customWidth="1"/>
    <col min="12041" max="12041" width="14.5714285714286" style="199" customWidth="1"/>
    <col min="12042" max="12042" width="11.5714285714286" style="199" customWidth="1"/>
    <col min="12043" max="12043" width="11.1428571428571" style="199" customWidth="1"/>
    <col min="12044" max="12044" width="7.42857142857143" style="199" customWidth="1"/>
    <col min="12045" max="12045" width="6.57142857142857" style="199" customWidth="1"/>
    <col min="12046" max="12047" width="9.28571428571429" style="199" customWidth="1"/>
    <col min="12048" max="12288" width="9.14285714285714" style="199"/>
    <col min="12289" max="12289" width="15.2857142857143" style="199" customWidth="1"/>
    <col min="12290" max="12290" width="11.1428571428571" style="199" customWidth="1"/>
    <col min="12291" max="12291" width="13.2857142857143" style="199" customWidth="1"/>
    <col min="12292" max="12292" width="10.1428571428571" style="199" customWidth="1"/>
    <col min="12293" max="12293" width="12.4285714285714" style="199" customWidth="1"/>
    <col min="12294" max="12294" width="11.2857142857143" style="199" customWidth="1"/>
    <col min="12295" max="12295" width="9.85714285714286" style="199" customWidth="1"/>
    <col min="12296" max="12296" width="13.4285714285714" style="199" customWidth="1"/>
    <col min="12297" max="12297" width="14.5714285714286" style="199" customWidth="1"/>
    <col min="12298" max="12298" width="11.5714285714286" style="199" customWidth="1"/>
    <col min="12299" max="12299" width="11.1428571428571" style="199" customWidth="1"/>
    <col min="12300" max="12300" width="7.42857142857143" style="199" customWidth="1"/>
    <col min="12301" max="12301" width="6.57142857142857" style="199" customWidth="1"/>
    <col min="12302" max="12303" width="9.28571428571429" style="199" customWidth="1"/>
    <col min="12304" max="12544" width="9.14285714285714" style="199"/>
    <col min="12545" max="12545" width="15.2857142857143" style="199" customWidth="1"/>
    <col min="12546" max="12546" width="11.1428571428571" style="199" customWidth="1"/>
    <col min="12547" max="12547" width="13.2857142857143" style="199" customWidth="1"/>
    <col min="12548" max="12548" width="10.1428571428571" style="199" customWidth="1"/>
    <col min="12549" max="12549" width="12.4285714285714" style="199" customWidth="1"/>
    <col min="12550" max="12550" width="11.2857142857143" style="199" customWidth="1"/>
    <col min="12551" max="12551" width="9.85714285714286" style="199" customWidth="1"/>
    <col min="12552" max="12552" width="13.4285714285714" style="199" customWidth="1"/>
    <col min="12553" max="12553" width="14.5714285714286" style="199" customWidth="1"/>
    <col min="12554" max="12554" width="11.5714285714286" style="199" customWidth="1"/>
    <col min="12555" max="12555" width="11.1428571428571" style="199" customWidth="1"/>
    <col min="12556" max="12556" width="7.42857142857143" style="199" customWidth="1"/>
    <col min="12557" max="12557" width="6.57142857142857" style="199" customWidth="1"/>
    <col min="12558" max="12559" width="9.28571428571429" style="199" customWidth="1"/>
    <col min="12560" max="12800" width="9.14285714285714" style="199"/>
    <col min="12801" max="12801" width="15.2857142857143" style="199" customWidth="1"/>
    <col min="12802" max="12802" width="11.1428571428571" style="199" customWidth="1"/>
    <col min="12803" max="12803" width="13.2857142857143" style="199" customWidth="1"/>
    <col min="12804" max="12804" width="10.1428571428571" style="199" customWidth="1"/>
    <col min="12805" max="12805" width="12.4285714285714" style="199" customWidth="1"/>
    <col min="12806" max="12806" width="11.2857142857143" style="199" customWidth="1"/>
    <col min="12807" max="12807" width="9.85714285714286" style="199" customWidth="1"/>
    <col min="12808" max="12808" width="13.4285714285714" style="199" customWidth="1"/>
    <col min="12809" max="12809" width="14.5714285714286" style="199" customWidth="1"/>
    <col min="12810" max="12810" width="11.5714285714286" style="199" customWidth="1"/>
    <col min="12811" max="12811" width="11.1428571428571" style="199" customWidth="1"/>
    <col min="12812" max="12812" width="7.42857142857143" style="199" customWidth="1"/>
    <col min="12813" max="12813" width="6.57142857142857" style="199" customWidth="1"/>
    <col min="12814" max="12815" width="9.28571428571429" style="199" customWidth="1"/>
    <col min="12816" max="13056" width="9.14285714285714" style="199"/>
    <col min="13057" max="13057" width="15.2857142857143" style="199" customWidth="1"/>
    <col min="13058" max="13058" width="11.1428571428571" style="199" customWidth="1"/>
    <col min="13059" max="13059" width="13.2857142857143" style="199" customWidth="1"/>
    <col min="13060" max="13060" width="10.1428571428571" style="199" customWidth="1"/>
    <col min="13061" max="13061" width="12.4285714285714" style="199" customWidth="1"/>
    <col min="13062" max="13062" width="11.2857142857143" style="199" customWidth="1"/>
    <col min="13063" max="13063" width="9.85714285714286" style="199" customWidth="1"/>
    <col min="13064" max="13064" width="13.4285714285714" style="199" customWidth="1"/>
    <col min="13065" max="13065" width="14.5714285714286" style="199" customWidth="1"/>
    <col min="13066" max="13066" width="11.5714285714286" style="199" customWidth="1"/>
    <col min="13067" max="13067" width="11.1428571428571" style="199" customWidth="1"/>
    <col min="13068" max="13068" width="7.42857142857143" style="199" customWidth="1"/>
    <col min="13069" max="13069" width="6.57142857142857" style="199" customWidth="1"/>
    <col min="13070" max="13071" width="9.28571428571429" style="199" customWidth="1"/>
    <col min="13072" max="13312" width="9.14285714285714" style="199"/>
    <col min="13313" max="13313" width="15.2857142857143" style="199" customWidth="1"/>
    <col min="13314" max="13314" width="11.1428571428571" style="199" customWidth="1"/>
    <col min="13315" max="13315" width="13.2857142857143" style="199" customWidth="1"/>
    <col min="13316" max="13316" width="10.1428571428571" style="199" customWidth="1"/>
    <col min="13317" max="13317" width="12.4285714285714" style="199" customWidth="1"/>
    <col min="13318" max="13318" width="11.2857142857143" style="199" customWidth="1"/>
    <col min="13319" max="13319" width="9.85714285714286" style="199" customWidth="1"/>
    <col min="13320" max="13320" width="13.4285714285714" style="199" customWidth="1"/>
    <col min="13321" max="13321" width="14.5714285714286" style="199" customWidth="1"/>
    <col min="13322" max="13322" width="11.5714285714286" style="199" customWidth="1"/>
    <col min="13323" max="13323" width="11.1428571428571" style="199" customWidth="1"/>
    <col min="13324" max="13324" width="7.42857142857143" style="199" customWidth="1"/>
    <col min="13325" max="13325" width="6.57142857142857" style="199" customWidth="1"/>
    <col min="13326" max="13327" width="9.28571428571429" style="199" customWidth="1"/>
    <col min="13328" max="13568" width="9.14285714285714" style="199"/>
    <col min="13569" max="13569" width="15.2857142857143" style="199" customWidth="1"/>
    <col min="13570" max="13570" width="11.1428571428571" style="199" customWidth="1"/>
    <col min="13571" max="13571" width="13.2857142857143" style="199" customWidth="1"/>
    <col min="13572" max="13572" width="10.1428571428571" style="199" customWidth="1"/>
    <col min="13573" max="13573" width="12.4285714285714" style="199" customWidth="1"/>
    <col min="13574" max="13574" width="11.2857142857143" style="199" customWidth="1"/>
    <col min="13575" max="13575" width="9.85714285714286" style="199" customWidth="1"/>
    <col min="13576" max="13576" width="13.4285714285714" style="199" customWidth="1"/>
    <col min="13577" max="13577" width="14.5714285714286" style="199" customWidth="1"/>
    <col min="13578" max="13578" width="11.5714285714286" style="199" customWidth="1"/>
    <col min="13579" max="13579" width="11.1428571428571" style="199" customWidth="1"/>
    <col min="13580" max="13580" width="7.42857142857143" style="199" customWidth="1"/>
    <col min="13581" max="13581" width="6.57142857142857" style="199" customWidth="1"/>
    <col min="13582" max="13583" width="9.28571428571429" style="199" customWidth="1"/>
    <col min="13584" max="13824" width="9.14285714285714" style="199"/>
    <col min="13825" max="13825" width="15.2857142857143" style="199" customWidth="1"/>
    <col min="13826" max="13826" width="11.1428571428571" style="199" customWidth="1"/>
    <col min="13827" max="13827" width="13.2857142857143" style="199" customWidth="1"/>
    <col min="13828" max="13828" width="10.1428571428571" style="199" customWidth="1"/>
    <col min="13829" max="13829" width="12.4285714285714" style="199" customWidth="1"/>
    <col min="13830" max="13830" width="11.2857142857143" style="199" customWidth="1"/>
    <col min="13831" max="13831" width="9.85714285714286" style="199" customWidth="1"/>
    <col min="13832" max="13832" width="13.4285714285714" style="199" customWidth="1"/>
    <col min="13833" max="13833" width="14.5714285714286" style="199" customWidth="1"/>
    <col min="13834" max="13834" width="11.5714285714286" style="199" customWidth="1"/>
    <col min="13835" max="13835" width="11.1428571428571" style="199" customWidth="1"/>
    <col min="13836" max="13836" width="7.42857142857143" style="199" customWidth="1"/>
    <col min="13837" max="13837" width="6.57142857142857" style="199" customWidth="1"/>
    <col min="13838" max="13839" width="9.28571428571429" style="199" customWidth="1"/>
    <col min="13840" max="14080" width="9.14285714285714" style="199"/>
    <col min="14081" max="14081" width="15.2857142857143" style="199" customWidth="1"/>
    <col min="14082" max="14082" width="11.1428571428571" style="199" customWidth="1"/>
    <col min="14083" max="14083" width="13.2857142857143" style="199" customWidth="1"/>
    <col min="14084" max="14084" width="10.1428571428571" style="199" customWidth="1"/>
    <col min="14085" max="14085" width="12.4285714285714" style="199" customWidth="1"/>
    <col min="14086" max="14086" width="11.2857142857143" style="199" customWidth="1"/>
    <col min="14087" max="14087" width="9.85714285714286" style="199" customWidth="1"/>
    <col min="14088" max="14088" width="13.4285714285714" style="199" customWidth="1"/>
    <col min="14089" max="14089" width="14.5714285714286" style="199" customWidth="1"/>
    <col min="14090" max="14090" width="11.5714285714286" style="199" customWidth="1"/>
    <col min="14091" max="14091" width="11.1428571428571" style="199" customWidth="1"/>
    <col min="14092" max="14092" width="7.42857142857143" style="199" customWidth="1"/>
    <col min="14093" max="14093" width="6.57142857142857" style="199" customWidth="1"/>
    <col min="14094" max="14095" width="9.28571428571429" style="199" customWidth="1"/>
    <col min="14096" max="14336" width="9.14285714285714" style="199"/>
    <col min="14337" max="14337" width="15.2857142857143" style="199" customWidth="1"/>
    <col min="14338" max="14338" width="11.1428571428571" style="199" customWidth="1"/>
    <col min="14339" max="14339" width="13.2857142857143" style="199" customWidth="1"/>
    <col min="14340" max="14340" width="10.1428571428571" style="199" customWidth="1"/>
    <col min="14341" max="14341" width="12.4285714285714" style="199" customWidth="1"/>
    <col min="14342" max="14342" width="11.2857142857143" style="199" customWidth="1"/>
    <col min="14343" max="14343" width="9.85714285714286" style="199" customWidth="1"/>
    <col min="14344" max="14344" width="13.4285714285714" style="199" customWidth="1"/>
    <col min="14345" max="14345" width="14.5714285714286" style="199" customWidth="1"/>
    <col min="14346" max="14346" width="11.5714285714286" style="199" customWidth="1"/>
    <col min="14347" max="14347" width="11.1428571428571" style="199" customWidth="1"/>
    <col min="14348" max="14348" width="7.42857142857143" style="199" customWidth="1"/>
    <col min="14349" max="14349" width="6.57142857142857" style="199" customWidth="1"/>
    <col min="14350" max="14351" width="9.28571428571429" style="199" customWidth="1"/>
    <col min="14352" max="14592" width="9.14285714285714" style="199"/>
    <col min="14593" max="14593" width="15.2857142857143" style="199" customWidth="1"/>
    <col min="14594" max="14594" width="11.1428571428571" style="199" customWidth="1"/>
    <col min="14595" max="14595" width="13.2857142857143" style="199" customWidth="1"/>
    <col min="14596" max="14596" width="10.1428571428571" style="199" customWidth="1"/>
    <col min="14597" max="14597" width="12.4285714285714" style="199" customWidth="1"/>
    <col min="14598" max="14598" width="11.2857142857143" style="199" customWidth="1"/>
    <col min="14599" max="14599" width="9.85714285714286" style="199" customWidth="1"/>
    <col min="14600" max="14600" width="13.4285714285714" style="199" customWidth="1"/>
    <col min="14601" max="14601" width="14.5714285714286" style="199" customWidth="1"/>
    <col min="14602" max="14602" width="11.5714285714286" style="199" customWidth="1"/>
    <col min="14603" max="14603" width="11.1428571428571" style="199" customWidth="1"/>
    <col min="14604" max="14604" width="7.42857142857143" style="199" customWidth="1"/>
    <col min="14605" max="14605" width="6.57142857142857" style="199" customWidth="1"/>
    <col min="14606" max="14607" width="9.28571428571429" style="199" customWidth="1"/>
    <col min="14608" max="14848" width="9.14285714285714" style="199"/>
    <col min="14849" max="14849" width="15.2857142857143" style="199" customWidth="1"/>
    <col min="14850" max="14850" width="11.1428571428571" style="199" customWidth="1"/>
    <col min="14851" max="14851" width="13.2857142857143" style="199" customWidth="1"/>
    <col min="14852" max="14852" width="10.1428571428571" style="199" customWidth="1"/>
    <col min="14853" max="14853" width="12.4285714285714" style="199" customWidth="1"/>
    <col min="14854" max="14854" width="11.2857142857143" style="199" customWidth="1"/>
    <col min="14855" max="14855" width="9.85714285714286" style="199" customWidth="1"/>
    <col min="14856" max="14856" width="13.4285714285714" style="199" customWidth="1"/>
    <col min="14857" max="14857" width="14.5714285714286" style="199" customWidth="1"/>
    <col min="14858" max="14858" width="11.5714285714286" style="199" customWidth="1"/>
    <col min="14859" max="14859" width="11.1428571428571" style="199" customWidth="1"/>
    <col min="14860" max="14860" width="7.42857142857143" style="199" customWidth="1"/>
    <col min="14861" max="14861" width="6.57142857142857" style="199" customWidth="1"/>
    <col min="14862" max="14863" width="9.28571428571429" style="199" customWidth="1"/>
    <col min="14864" max="15104" width="9.14285714285714" style="199"/>
    <col min="15105" max="15105" width="15.2857142857143" style="199" customWidth="1"/>
    <col min="15106" max="15106" width="11.1428571428571" style="199" customWidth="1"/>
    <col min="15107" max="15107" width="13.2857142857143" style="199" customWidth="1"/>
    <col min="15108" max="15108" width="10.1428571428571" style="199" customWidth="1"/>
    <col min="15109" max="15109" width="12.4285714285714" style="199" customWidth="1"/>
    <col min="15110" max="15110" width="11.2857142857143" style="199" customWidth="1"/>
    <col min="15111" max="15111" width="9.85714285714286" style="199" customWidth="1"/>
    <col min="15112" max="15112" width="13.4285714285714" style="199" customWidth="1"/>
    <col min="15113" max="15113" width="14.5714285714286" style="199" customWidth="1"/>
    <col min="15114" max="15114" width="11.5714285714286" style="199" customWidth="1"/>
    <col min="15115" max="15115" width="11.1428571428571" style="199" customWidth="1"/>
    <col min="15116" max="15116" width="7.42857142857143" style="199" customWidth="1"/>
    <col min="15117" max="15117" width="6.57142857142857" style="199" customWidth="1"/>
    <col min="15118" max="15119" width="9.28571428571429" style="199" customWidth="1"/>
    <col min="15120" max="15360" width="9.14285714285714" style="199"/>
    <col min="15361" max="15361" width="15.2857142857143" style="199" customWidth="1"/>
    <col min="15362" max="15362" width="11.1428571428571" style="199" customWidth="1"/>
    <col min="15363" max="15363" width="13.2857142857143" style="199" customWidth="1"/>
    <col min="15364" max="15364" width="10.1428571428571" style="199" customWidth="1"/>
    <col min="15365" max="15365" width="12.4285714285714" style="199" customWidth="1"/>
    <col min="15366" max="15366" width="11.2857142857143" style="199" customWidth="1"/>
    <col min="15367" max="15367" width="9.85714285714286" style="199" customWidth="1"/>
    <col min="15368" max="15368" width="13.4285714285714" style="199" customWidth="1"/>
    <col min="15369" max="15369" width="14.5714285714286" style="199" customWidth="1"/>
    <col min="15370" max="15370" width="11.5714285714286" style="199" customWidth="1"/>
    <col min="15371" max="15371" width="11.1428571428571" style="199" customWidth="1"/>
    <col min="15372" max="15372" width="7.42857142857143" style="199" customWidth="1"/>
    <col min="15373" max="15373" width="6.57142857142857" style="199" customWidth="1"/>
    <col min="15374" max="15375" width="9.28571428571429" style="199" customWidth="1"/>
    <col min="15376" max="15616" width="9.14285714285714" style="199"/>
    <col min="15617" max="15617" width="15.2857142857143" style="199" customWidth="1"/>
    <col min="15618" max="15618" width="11.1428571428571" style="199" customWidth="1"/>
    <col min="15619" max="15619" width="13.2857142857143" style="199" customWidth="1"/>
    <col min="15620" max="15620" width="10.1428571428571" style="199" customWidth="1"/>
    <col min="15621" max="15621" width="12.4285714285714" style="199" customWidth="1"/>
    <col min="15622" max="15622" width="11.2857142857143" style="199" customWidth="1"/>
    <col min="15623" max="15623" width="9.85714285714286" style="199" customWidth="1"/>
    <col min="15624" max="15624" width="13.4285714285714" style="199" customWidth="1"/>
    <col min="15625" max="15625" width="14.5714285714286" style="199" customWidth="1"/>
    <col min="15626" max="15626" width="11.5714285714286" style="199" customWidth="1"/>
    <col min="15627" max="15627" width="11.1428571428571" style="199" customWidth="1"/>
    <col min="15628" max="15628" width="7.42857142857143" style="199" customWidth="1"/>
    <col min="15629" max="15629" width="6.57142857142857" style="199" customWidth="1"/>
    <col min="15630" max="15631" width="9.28571428571429" style="199" customWidth="1"/>
    <col min="15632" max="15872" width="9.14285714285714" style="199"/>
    <col min="15873" max="15873" width="15.2857142857143" style="199" customWidth="1"/>
    <col min="15874" max="15874" width="11.1428571428571" style="199" customWidth="1"/>
    <col min="15875" max="15875" width="13.2857142857143" style="199" customWidth="1"/>
    <col min="15876" max="15876" width="10.1428571428571" style="199" customWidth="1"/>
    <col min="15877" max="15877" width="12.4285714285714" style="199" customWidth="1"/>
    <col min="15878" max="15878" width="11.2857142857143" style="199" customWidth="1"/>
    <col min="15879" max="15879" width="9.85714285714286" style="199" customWidth="1"/>
    <col min="15880" max="15880" width="13.4285714285714" style="199" customWidth="1"/>
    <col min="15881" max="15881" width="14.5714285714286" style="199" customWidth="1"/>
    <col min="15882" max="15882" width="11.5714285714286" style="199" customWidth="1"/>
    <col min="15883" max="15883" width="11.1428571428571" style="199" customWidth="1"/>
    <col min="15884" max="15884" width="7.42857142857143" style="199" customWidth="1"/>
    <col min="15885" max="15885" width="6.57142857142857" style="199" customWidth="1"/>
    <col min="15886" max="15887" width="9.28571428571429" style="199" customWidth="1"/>
    <col min="15888" max="16128" width="9.14285714285714" style="199"/>
    <col min="16129" max="16129" width="15.2857142857143" style="199" customWidth="1"/>
    <col min="16130" max="16130" width="11.1428571428571" style="199" customWidth="1"/>
    <col min="16131" max="16131" width="13.2857142857143" style="199" customWidth="1"/>
    <col min="16132" max="16132" width="10.1428571428571" style="199" customWidth="1"/>
    <col min="16133" max="16133" width="12.4285714285714" style="199" customWidth="1"/>
    <col min="16134" max="16134" width="11.2857142857143" style="199" customWidth="1"/>
    <col min="16135" max="16135" width="9.85714285714286" style="199" customWidth="1"/>
    <col min="16136" max="16136" width="13.4285714285714" style="199" customWidth="1"/>
    <col min="16137" max="16137" width="14.5714285714286" style="199" customWidth="1"/>
    <col min="16138" max="16138" width="11.5714285714286" style="199" customWidth="1"/>
    <col min="16139" max="16139" width="11.1428571428571" style="199" customWidth="1"/>
    <col min="16140" max="16140" width="7.42857142857143" style="199" customWidth="1"/>
    <col min="16141" max="16141" width="6.57142857142857" style="199" customWidth="1"/>
    <col min="16142" max="16143" width="9.28571428571429" style="199" customWidth="1"/>
    <col min="16144" max="16384" width="9.14285714285714" style="199"/>
  </cols>
  <sheetData>
    <row r="1" ht="24.2" customHeight="1" spans="1:10">
      <c r="A1" s="200" t="s">
        <v>254</v>
      </c>
      <c r="B1" s="201"/>
      <c r="C1" s="201"/>
      <c r="D1" s="201"/>
      <c r="E1" s="201"/>
      <c r="F1" s="201"/>
      <c r="G1" s="201"/>
      <c r="H1" s="201"/>
      <c r="I1" s="201"/>
      <c r="J1" s="201"/>
    </row>
    <row r="2" ht="68.25" customHeight="1" spans="1:10">
      <c r="A2" s="202" t="s">
        <v>255</v>
      </c>
      <c r="B2" s="202"/>
      <c r="C2" s="202"/>
      <c r="D2" s="202"/>
      <c r="E2" s="202"/>
      <c r="F2" s="202"/>
      <c r="G2" s="202"/>
      <c r="H2" s="202"/>
      <c r="I2" s="202"/>
      <c r="J2" s="202"/>
    </row>
    <row r="3" ht="14.65" customHeight="1" spans="1:10">
      <c r="A3" s="203" t="s">
        <v>256</v>
      </c>
      <c r="B3" s="203"/>
      <c r="C3" s="203"/>
      <c r="D3" s="203"/>
      <c r="E3" s="203"/>
      <c r="F3" s="203"/>
      <c r="G3" s="203"/>
      <c r="H3" s="204" t="s">
        <v>257</v>
      </c>
      <c r="I3" s="204"/>
      <c r="J3" s="204"/>
    </row>
    <row r="4" ht="14.65" customHeight="1" spans="1:10">
      <c r="A4" s="203" t="s">
        <v>258</v>
      </c>
      <c r="B4" s="203"/>
      <c r="C4" s="203"/>
      <c r="D4" s="203"/>
      <c r="E4" s="203"/>
      <c r="F4" s="203"/>
      <c r="G4" s="203"/>
      <c r="H4" s="205" t="s">
        <v>259</v>
      </c>
      <c r="I4" s="204"/>
      <c r="J4" s="204"/>
    </row>
    <row r="5" ht="14.65" customHeight="1" spans="1:10">
      <c r="A5" s="203" t="s">
        <v>559</v>
      </c>
      <c r="B5" s="203"/>
      <c r="C5" s="203"/>
      <c r="D5" s="203"/>
      <c r="E5" s="203"/>
      <c r="F5" s="203"/>
      <c r="G5" s="203"/>
      <c r="H5" s="203"/>
      <c r="I5" s="203"/>
      <c r="J5" s="203"/>
    </row>
    <row r="6" ht="16.15" customHeight="1" spans="1:10">
      <c r="A6" s="206" t="s">
        <v>261</v>
      </c>
      <c r="B6" s="206"/>
      <c r="C6" s="206"/>
      <c r="D6" s="206"/>
      <c r="E6" s="206"/>
      <c r="F6" s="206"/>
      <c r="G6" s="206"/>
      <c r="H6" s="206"/>
      <c r="I6" s="206"/>
      <c r="J6" s="206"/>
    </row>
    <row r="7" ht="14.65" customHeight="1" spans="1:10">
      <c r="A7" s="207" t="s">
        <v>262</v>
      </c>
      <c r="B7" s="203" t="s">
        <v>263</v>
      </c>
      <c r="C7" s="203"/>
      <c r="D7" s="203"/>
      <c r="E7" s="203"/>
      <c r="F7" s="203"/>
      <c r="G7" s="203"/>
      <c r="H7" s="208">
        <f ca="1">TODAY()</f>
        <v>43853</v>
      </c>
      <c r="I7" s="208"/>
      <c r="J7" s="208"/>
    </row>
    <row r="8" ht="14.65" customHeight="1" spans="1:10">
      <c r="A8" s="207" t="s">
        <v>264</v>
      </c>
      <c r="B8" s="203" t="s">
        <v>265</v>
      </c>
      <c r="C8" s="203"/>
      <c r="D8" s="203"/>
      <c r="E8" s="203"/>
      <c r="F8" s="203"/>
      <c r="G8" s="203"/>
      <c r="H8" s="205" t="str">
        <f>'Aba Carregamento'!B13</f>
        <v>Porto Alegre/ RS</v>
      </c>
      <c r="I8" s="208"/>
      <c r="J8" s="208"/>
    </row>
    <row r="9" ht="14.85" customHeight="1" spans="1:10">
      <c r="A9" s="207" t="s">
        <v>266</v>
      </c>
      <c r="B9" s="203" t="s">
        <v>267</v>
      </c>
      <c r="C9" s="203"/>
      <c r="D9" s="203"/>
      <c r="E9" s="203"/>
      <c r="F9" s="203"/>
      <c r="G9" s="203"/>
      <c r="H9" s="208" t="str">
        <f>'Aba Carregamento'!B71</f>
        <v>RS 000092/2019</v>
      </c>
      <c r="I9" s="208"/>
      <c r="J9" s="208"/>
    </row>
    <row r="10" ht="14.65" customHeight="1" spans="1:10">
      <c r="A10" s="207" t="s">
        <v>268</v>
      </c>
      <c r="B10" s="203" t="s">
        <v>269</v>
      </c>
      <c r="C10" s="203"/>
      <c r="D10" s="203"/>
      <c r="E10" s="203"/>
      <c r="F10" s="203"/>
      <c r="G10" s="203"/>
      <c r="H10" s="204">
        <v>20</v>
      </c>
      <c r="I10" s="204"/>
      <c r="J10" s="204"/>
    </row>
    <row r="11" ht="16.15" customHeight="1" spans="1:10">
      <c r="A11" s="209" t="s">
        <v>270</v>
      </c>
      <c r="B11" s="209"/>
      <c r="C11" s="209"/>
      <c r="D11" s="209"/>
      <c r="E11" s="209"/>
      <c r="F11" s="209"/>
      <c r="G11" s="209"/>
      <c r="H11" s="209"/>
      <c r="I11" s="209"/>
      <c r="J11" s="209"/>
    </row>
    <row r="12" ht="51" customHeight="1" spans="1:10">
      <c r="A12" s="210" t="s">
        <v>271</v>
      </c>
      <c r="B12" s="210"/>
      <c r="C12" s="210"/>
      <c r="D12" s="210"/>
      <c r="E12" s="210"/>
      <c r="F12" s="210"/>
      <c r="G12" s="210" t="s">
        <v>272</v>
      </c>
      <c r="H12" s="210"/>
      <c r="I12" s="231" t="s">
        <v>273</v>
      </c>
      <c r="J12" s="231"/>
    </row>
    <row r="13" ht="14.65" customHeight="1" spans="1:10">
      <c r="A13" s="211" t="s">
        <v>274</v>
      </c>
      <c r="B13" s="211"/>
      <c r="C13" s="211"/>
      <c r="D13" s="211"/>
      <c r="E13" s="211"/>
      <c r="F13" s="211"/>
      <c r="G13" s="212" t="s">
        <v>275</v>
      </c>
      <c r="H13" s="212"/>
      <c r="I13" s="232">
        <f>'Aba Carregamento'!E45</f>
        <v>0</v>
      </c>
      <c r="J13" s="232"/>
    </row>
    <row r="14" ht="14.65" customHeight="1" spans="1:10">
      <c r="A14" s="211" t="s">
        <v>276</v>
      </c>
      <c r="B14" s="211"/>
      <c r="C14" s="211"/>
      <c r="D14" s="211"/>
      <c r="E14" s="211"/>
      <c r="F14" s="211"/>
      <c r="G14" s="212" t="s">
        <v>275</v>
      </c>
      <c r="H14" s="212"/>
      <c r="I14" s="232">
        <f>'Aba Carregamento'!E46</f>
        <v>0</v>
      </c>
      <c r="J14" s="232"/>
    </row>
    <row r="15" ht="14.65" customHeight="1" spans="1:10">
      <c r="A15" s="211" t="s">
        <v>277</v>
      </c>
      <c r="B15" s="211"/>
      <c r="C15" s="211"/>
      <c r="D15" s="211"/>
      <c r="E15" s="211"/>
      <c r="F15" s="211"/>
      <c r="G15" s="212" t="s">
        <v>275</v>
      </c>
      <c r="H15" s="212"/>
      <c r="I15" s="232">
        <f>'Aba Carregamento'!E47</f>
        <v>0</v>
      </c>
      <c r="J15" s="232"/>
    </row>
    <row r="16" ht="14.65" customHeight="1" spans="1:10">
      <c r="A16" s="211" t="s">
        <v>278</v>
      </c>
      <c r="B16" s="211"/>
      <c r="C16" s="211"/>
      <c r="D16" s="211"/>
      <c r="E16" s="211"/>
      <c r="F16" s="211"/>
      <c r="G16" s="212" t="s">
        <v>275</v>
      </c>
      <c r="H16" s="212"/>
      <c r="I16" s="232">
        <f>'Aba Carregamento'!E48</f>
        <v>0</v>
      </c>
      <c r="J16" s="232"/>
    </row>
    <row r="17" ht="14.65" customHeight="1" spans="1:10">
      <c r="A17" s="211" t="s">
        <v>279</v>
      </c>
      <c r="B17" s="211"/>
      <c r="C17" s="211"/>
      <c r="D17" s="211"/>
      <c r="E17" s="211"/>
      <c r="F17" s="211"/>
      <c r="G17" s="212" t="s">
        <v>275</v>
      </c>
      <c r="H17" s="212"/>
      <c r="I17" s="232">
        <f>'Aba Carregamento'!E49</f>
        <v>0</v>
      </c>
      <c r="J17" s="232"/>
    </row>
    <row r="18" ht="14.65" customHeight="1" spans="1:10">
      <c r="A18" s="211" t="s">
        <v>280</v>
      </c>
      <c r="B18" s="211"/>
      <c r="C18" s="211"/>
      <c r="D18" s="211" t="s">
        <v>281</v>
      </c>
      <c r="E18" s="211" t="s">
        <v>282</v>
      </c>
      <c r="F18" s="211" t="s">
        <v>283</v>
      </c>
      <c r="G18" s="212" t="s">
        <v>275</v>
      </c>
      <c r="H18" s="212"/>
      <c r="I18" s="232">
        <f>'Aba Carregamento'!E50</f>
        <v>0</v>
      </c>
      <c r="J18" s="232"/>
    </row>
    <row r="19" ht="14.65" customHeight="1" spans="1:10">
      <c r="A19" s="213" t="s">
        <v>284</v>
      </c>
      <c r="B19" s="213"/>
      <c r="C19" s="213"/>
      <c r="D19" s="213"/>
      <c r="E19" s="213"/>
      <c r="F19" s="213"/>
      <c r="G19" s="214" t="s">
        <v>275</v>
      </c>
      <c r="H19" s="214"/>
      <c r="I19" s="232">
        <f>'Aba Carregamento'!E51</f>
        <v>739.35</v>
      </c>
      <c r="J19" s="232"/>
    </row>
    <row r="20" ht="14.65" customHeight="1" spans="1:10">
      <c r="A20" s="215" t="s">
        <v>285</v>
      </c>
      <c r="B20" s="215"/>
      <c r="C20" s="215"/>
      <c r="D20" s="215"/>
      <c r="E20" s="215"/>
      <c r="F20" s="215"/>
      <c r="G20" s="215"/>
      <c r="H20" s="215"/>
      <c r="I20" s="233">
        <f>ROUND(SUM(I13:J19),2)</f>
        <v>739.35</v>
      </c>
      <c r="J20" s="233"/>
    </row>
    <row r="21" spans="1:10">
      <c r="A21" s="216"/>
      <c r="B21" s="216"/>
      <c r="C21" s="216"/>
      <c r="D21" s="216"/>
      <c r="E21" s="216"/>
      <c r="F21" s="216"/>
      <c r="G21" s="216"/>
      <c r="H21" s="216"/>
      <c r="I21" s="216"/>
      <c r="J21" s="216"/>
    </row>
    <row r="22" ht="14.65" customHeight="1" spans="1:10">
      <c r="A22" s="211" t="s">
        <v>286</v>
      </c>
      <c r="B22" s="211"/>
      <c r="C22" s="211"/>
      <c r="D22" s="211"/>
      <c r="E22" s="211"/>
      <c r="F22" s="211"/>
      <c r="G22" s="211"/>
      <c r="H22" s="212" t="s">
        <v>275</v>
      </c>
      <c r="I22" s="212"/>
      <c r="J22" s="234">
        <f>'Aba Carregamento'!E52</f>
        <v>0</v>
      </c>
    </row>
    <row r="23" ht="14.65" customHeight="1" spans="1:10">
      <c r="A23" s="211" t="s">
        <v>287</v>
      </c>
      <c r="B23" s="211"/>
      <c r="C23" s="211"/>
      <c r="D23" s="211"/>
      <c r="E23" s="211"/>
      <c r="F23" s="211"/>
      <c r="G23" s="211"/>
      <c r="H23" s="217" t="s">
        <v>275</v>
      </c>
      <c r="I23" s="217"/>
      <c r="J23" s="234">
        <f>'Aba Carregamento'!E53</f>
        <v>0</v>
      </c>
    </row>
    <row r="24" ht="14.65" customHeight="1" spans="1:10">
      <c r="A24" s="211" t="s">
        <v>288</v>
      </c>
      <c r="B24" s="211"/>
      <c r="C24" s="211"/>
      <c r="D24" s="211"/>
      <c r="E24" s="211"/>
      <c r="F24" s="211"/>
      <c r="G24" s="211"/>
      <c r="H24" s="212" t="s">
        <v>275</v>
      </c>
      <c r="I24" s="212"/>
      <c r="J24" s="234">
        <f>'Aba Carregamento'!E54</f>
        <v>0</v>
      </c>
    </row>
    <row r="25" ht="14.65" customHeight="1" spans="1:10">
      <c r="A25" s="211" t="s">
        <v>289</v>
      </c>
      <c r="B25" s="211"/>
      <c r="C25" s="211"/>
      <c r="D25" s="211"/>
      <c r="E25" s="211"/>
      <c r="F25" s="211"/>
      <c r="G25" s="211"/>
      <c r="H25" s="217" t="s">
        <v>275</v>
      </c>
      <c r="I25" s="217"/>
      <c r="J25" s="234">
        <f>'Aba Carregamento'!E55</f>
        <v>0</v>
      </c>
    </row>
    <row r="26" ht="14.65" customHeight="1" spans="1:10">
      <c r="A26" s="211" t="s">
        <v>290</v>
      </c>
      <c r="B26" s="211"/>
      <c r="C26" s="211"/>
      <c r="D26" s="211"/>
      <c r="E26" s="211"/>
      <c r="F26" s="211"/>
      <c r="G26" s="211"/>
      <c r="H26" s="217" t="s">
        <v>275</v>
      </c>
      <c r="I26" s="217"/>
      <c r="J26" s="234">
        <f>'Aba Carregamento'!E56</f>
        <v>0</v>
      </c>
    </row>
    <row r="27" ht="14.65" customHeight="1" spans="1:10">
      <c r="A27" s="211" t="s">
        <v>291</v>
      </c>
      <c r="B27" s="211"/>
      <c r="C27" s="211"/>
      <c r="D27" s="211"/>
      <c r="E27" s="211"/>
      <c r="F27" s="211"/>
      <c r="G27" s="211"/>
      <c r="H27" s="212" t="s">
        <v>275</v>
      </c>
      <c r="I27" s="212"/>
      <c r="J27" s="234">
        <f>'Aba Carregamento'!E57</f>
        <v>0</v>
      </c>
    </row>
    <row r="28" ht="14.65" customHeight="1" spans="1:10">
      <c r="A28" s="215" t="s">
        <v>292</v>
      </c>
      <c r="B28" s="215"/>
      <c r="C28" s="215"/>
      <c r="D28" s="215"/>
      <c r="E28" s="215"/>
      <c r="F28" s="215"/>
      <c r="G28" s="215"/>
      <c r="H28" s="215"/>
      <c r="I28" s="215"/>
      <c r="J28" s="233">
        <f>ROUND(SUM(J22:J27),2)</f>
        <v>0</v>
      </c>
    </row>
    <row r="29" spans="1:10">
      <c r="A29" s="216"/>
      <c r="B29" s="216"/>
      <c r="C29" s="216"/>
      <c r="D29" s="216"/>
      <c r="E29" s="216"/>
      <c r="F29" s="216"/>
      <c r="G29" s="216"/>
      <c r="H29" s="216"/>
      <c r="I29" s="216"/>
      <c r="J29" s="216"/>
    </row>
    <row r="30" ht="14.65" customHeight="1" spans="1:10">
      <c r="A30" s="211" t="s">
        <v>293</v>
      </c>
      <c r="B30" s="211"/>
      <c r="C30" s="211"/>
      <c r="D30" s="211"/>
      <c r="E30" s="211"/>
      <c r="F30" s="211"/>
      <c r="G30" s="211"/>
      <c r="H30" s="212" t="s">
        <v>275</v>
      </c>
      <c r="I30" s="212"/>
      <c r="J30" s="234">
        <f>'Aba Carregamento'!E58</f>
        <v>0</v>
      </c>
    </row>
    <row r="31" ht="14.65" customHeight="1" spans="1:10">
      <c r="A31" s="211" t="s">
        <v>294</v>
      </c>
      <c r="B31" s="211"/>
      <c r="C31" s="211"/>
      <c r="D31" s="211"/>
      <c r="E31" s="211"/>
      <c r="F31" s="211"/>
      <c r="G31" s="211"/>
      <c r="H31" s="212" t="s">
        <v>275</v>
      </c>
      <c r="I31" s="212"/>
      <c r="J31" s="234">
        <f>'Aba Carregamento'!E59</f>
        <v>0</v>
      </c>
    </row>
    <row r="32" ht="14.65" customHeight="1" spans="1:10">
      <c r="A32" s="211" t="s">
        <v>295</v>
      </c>
      <c r="B32" s="211"/>
      <c r="C32" s="211"/>
      <c r="D32" s="211"/>
      <c r="E32" s="211"/>
      <c r="F32" s="211"/>
      <c r="G32" s="211"/>
      <c r="H32" s="212" t="s">
        <v>275</v>
      </c>
      <c r="I32" s="212"/>
      <c r="J32" s="234">
        <f>'Aba Carregamento'!E60</f>
        <v>0</v>
      </c>
    </row>
    <row r="33" spans="1:10">
      <c r="A33" s="218" t="s">
        <v>296</v>
      </c>
      <c r="B33" s="218"/>
      <c r="C33" s="218"/>
      <c r="D33" s="218"/>
      <c r="E33" s="218"/>
      <c r="F33" s="218"/>
      <c r="G33" s="218"/>
      <c r="H33" s="218"/>
      <c r="I33" s="218"/>
      <c r="J33" s="233">
        <f>ROUND(SUM(J30:J32),2)</f>
        <v>0</v>
      </c>
    </row>
    <row r="34" spans="1:10">
      <c r="A34" s="216"/>
      <c r="B34" s="216"/>
      <c r="C34" s="216"/>
      <c r="D34" s="216"/>
      <c r="E34" s="216"/>
      <c r="F34" s="216"/>
      <c r="G34" s="216"/>
      <c r="H34" s="216"/>
      <c r="I34" s="216"/>
      <c r="J34" s="216"/>
    </row>
    <row r="35" ht="14.65" customHeight="1" spans="1:10">
      <c r="A35" s="219" t="s">
        <v>297</v>
      </c>
      <c r="B35" s="219"/>
      <c r="C35" s="219"/>
      <c r="D35" s="219"/>
      <c r="E35" s="219"/>
      <c r="F35" s="219"/>
      <c r="G35" s="219"/>
      <c r="H35" s="212" t="s">
        <v>275</v>
      </c>
      <c r="I35" s="212"/>
      <c r="J35" s="234">
        <f>'Aba Carregamento'!E61</f>
        <v>0</v>
      </c>
    </row>
    <row r="36" ht="14.65" customHeight="1" spans="1:10">
      <c r="A36" s="215" t="s">
        <v>298</v>
      </c>
      <c r="B36" s="215"/>
      <c r="C36" s="215"/>
      <c r="D36" s="215"/>
      <c r="E36" s="215"/>
      <c r="F36" s="215"/>
      <c r="G36" s="215"/>
      <c r="H36" s="215"/>
      <c r="I36" s="215"/>
      <c r="J36" s="233">
        <f>J35</f>
        <v>0</v>
      </c>
    </row>
    <row r="37" spans="1:10">
      <c r="A37" s="216"/>
      <c r="B37" s="216"/>
      <c r="C37" s="216"/>
      <c r="D37" s="216"/>
      <c r="E37" s="216"/>
      <c r="F37" s="216"/>
      <c r="G37" s="216"/>
      <c r="H37" s="216"/>
      <c r="I37" s="216"/>
      <c r="J37" s="216"/>
    </row>
    <row r="38" spans="1:10">
      <c r="A38" s="219" t="s">
        <v>299</v>
      </c>
      <c r="B38" s="219"/>
      <c r="C38" s="219"/>
      <c r="D38" s="219"/>
      <c r="E38" s="219"/>
      <c r="F38" s="219"/>
      <c r="G38" s="219"/>
      <c r="H38" s="217" t="s">
        <v>275</v>
      </c>
      <c r="I38" s="217"/>
      <c r="J38" s="234">
        <f>'Aba Carregamento'!E62</f>
        <v>0</v>
      </c>
    </row>
    <row r="39" spans="1:10">
      <c r="A39" s="220" t="s">
        <v>300</v>
      </c>
      <c r="B39" s="220"/>
      <c r="C39" s="220"/>
      <c r="D39" s="220"/>
      <c r="E39" s="220"/>
      <c r="F39" s="220"/>
      <c r="G39" s="220"/>
      <c r="H39" s="220"/>
      <c r="I39" s="220"/>
      <c r="J39" s="233">
        <f>J38</f>
        <v>0</v>
      </c>
    </row>
    <row r="40" spans="1:10">
      <c r="A40" s="216"/>
      <c r="B40" s="216"/>
      <c r="C40" s="216"/>
      <c r="D40" s="216"/>
      <c r="E40" s="216"/>
      <c r="F40" s="216"/>
      <c r="G40" s="216"/>
      <c r="H40" s="216"/>
      <c r="I40" s="216"/>
      <c r="J40" s="216"/>
    </row>
    <row r="41" spans="1:10">
      <c r="A41" s="221" t="s">
        <v>301</v>
      </c>
      <c r="B41" s="221"/>
      <c r="C41" s="221"/>
      <c r="D41" s="221"/>
      <c r="E41" s="221"/>
      <c r="F41" s="221"/>
      <c r="G41" s="221"/>
      <c r="H41" s="217" t="s">
        <v>275</v>
      </c>
      <c r="I41" s="217"/>
      <c r="J41" s="234"/>
    </row>
    <row r="42" spans="1:10">
      <c r="A42" s="218" t="s">
        <v>302</v>
      </c>
      <c r="B42" s="218"/>
      <c r="C42" s="218"/>
      <c r="D42" s="218"/>
      <c r="E42" s="218"/>
      <c r="F42" s="218"/>
      <c r="G42" s="218"/>
      <c r="H42" s="218"/>
      <c r="I42" s="218"/>
      <c r="J42" s="233">
        <f>J41</f>
        <v>0</v>
      </c>
    </row>
    <row r="43" spans="1:10">
      <c r="A43" s="216"/>
      <c r="B43" s="216"/>
      <c r="C43" s="216"/>
      <c r="D43" s="216"/>
      <c r="E43" s="216"/>
      <c r="F43" s="216"/>
      <c r="G43" s="216"/>
      <c r="H43" s="216"/>
      <c r="I43" s="216"/>
      <c r="J43" s="216"/>
    </row>
    <row r="44" ht="14.65" customHeight="1" spans="1:10">
      <c r="A44" s="222" t="s">
        <v>303</v>
      </c>
      <c r="B44" s="222"/>
      <c r="C44" s="222"/>
      <c r="D44" s="222"/>
      <c r="E44" s="222"/>
      <c r="F44" s="222"/>
      <c r="G44" s="222"/>
      <c r="H44" s="222"/>
      <c r="I44" s="222"/>
      <c r="J44" s="235">
        <f>ROUND(I20+J28+J33+J36+J39+J42,2)</f>
        <v>739.35</v>
      </c>
    </row>
    <row r="45" spans="1:10">
      <c r="A45" s="216"/>
      <c r="B45" s="216"/>
      <c r="C45" s="216"/>
      <c r="D45" s="216"/>
      <c r="E45" s="216"/>
      <c r="F45" s="216"/>
      <c r="G45" s="216"/>
      <c r="H45" s="216"/>
      <c r="I45" s="216"/>
      <c r="J45" s="216"/>
    </row>
    <row r="46" ht="48.2" customHeight="1" spans="1:10">
      <c r="A46" s="223" t="s">
        <v>304</v>
      </c>
      <c r="B46" s="223"/>
      <c r="C46" s="223"/>
      <c r="D46" s="223"/>
      <c r="E46" s="223"/>
      <c r="F46" s="223"/>
      <c r="G46" s="223"/>
      <c r="H46" s="223"/>
      <c r="I46" s="223"/>
      <c r="J46" s="223"/>
    </row>
    <row r="47" spans="1:10">
      <c r="A47" s="216"/>
      <c r="B47" s="216"/>
      <c r="C47" s="216"/>
      <c r="D47" s="216"/>
      <c r="E47" s="216"/>
      <c r="F47" s="216"/>
      <c r="G47" s="216"/>
      <c r="H47" s="216"/>
      <c r="I47" s="216"/>
      <c r="J47" s="216"/>
    </row>
    <row r="48" ht="48.75" customHeight="1" spans="1:10">
      <c r="A48" s="224" t="s">
        <v>305</v>
      </c>
      <c r="B48" s="224"/>
      <c r="C48" s="224"/>
      <c r="D48" s="224"/>
      <c r="E48" s="224"/>
      <c r="F48" s="224"/>
      <c r="G48" s="224"/>
      <c r="H48" s="224"/>
      <c r="I48" s="224"/>
      <c r="J48" s="224"/>
    </row>
    <row r="49" spans="1:10">
      <c r="A49" s="216"/>
      <c r="B49" s="216"/>
      <c r="C49" s="216"/>
      <c r="D49" s="216"/>
      <c r="E49" s="216"/>
      <c r="F49" s="216"/>
      <c r="G49" s="216"/>
      <c r="H49" s="216"/>
      <c r="I49" s="216"/>
      <c r="J49" s="216"/>
    </row>
    <row r="50" ht="16.15" customHeight="1" spans="1:10">
      <c r="A50" s="225" t="s">
        <v>306</v>
      </c>
      <c r="B50" s="225"/>
      <c r="C50" s="225"/>
      <c r="D50" s="225"/>
      <c r="E50" s="225"/>
      <c r="F50" s="225"/>
      <c r="G50" s="225"/>
      <c r="H50" s="225"/>
      <c r="I50" s="225"/>
      <c r="J50" s="225"/>
    </row>
    <row r="51" ht="16.15" customHeight="1" spans="1:10">
      <c r="A51" s="207">
        <v>1</v>
      </c>
      <c r="B51" s="203" t="s">
        <v>307</v>
      </c>
      <c r="C51" s="203"/>
      <c r="D51" s="203"/>
      <c r="E51" s="203"/>
      <c r="F51" s="203"/>
      <c r="G51" s="203"/>
      <c r="H51" s="226" t="s">
        <v>308</v>
      </c>
      <c r="I51" s="226"/>
      <c r="J51" s="226"/>
    </row>
    <row r="52" ht="16.15" customHeight="1" spans="1:10">
      <c r="A52" s="207">
        <v>2</v>
      </c>
      <c r="B52" s="203" t="s">
        <v>309</v>
      </c>
      <c r="C52" s="203"/>
      <c r="D52" s="203"/>
      <c r="E52" s="203"/>
      <c r="F52" s="203"/>
      <c r="G52" s="203"/>
      <c r="H52" s="226">
        <v>5143</v>
      </c>
      <c r="I52" s="226"/>
      <c r="J52" s="226"/>
    </row>
    <row r="53" ht="16.15" customHeight="1" spans="1:10">
      <c r="A53" s="207">
        <v>3</v>
      </c>
      <c r="B53" s="203" t="s">
        <v>310</v>
      </c>
      <c r="C53" s="203"/>
      <c r="D53" s="203"/>
      <c r="E53" s="203"/>
      <c r="F53" s="203"/>
      <c r="G53" s="203"/>
      <c r="H53" s="227">
        <f>'Aba Carregamento'!B73</f>
        <v>1083.96</v>
      </c>
      <c r="I53" s="227"/>
      <c r="J53" s="227"/>
    </row>
    <row r="54" ht="16.15" customHeight="1" spans="1:10">
      <c r="A54" s="207">
        <v>4</v>
      </c>
      <c r="B54" s="203" t="s">
        <v>311</v>
      </c>
      <c r="C54" s="203"/>
      <c r="D54" s="203"/>
      <c r="E54" s="203"/>
      <c r="F54" s="203"/>
      <c r="G54" s="203"/>
      <c r="H54" s="228" t="s">
        <v>312</v>
      </c>
      <c r="I54" s="228"/>
      <c r="J54" s="228"/>
    </row>
    <row r="55" ht="16.15" customHeight="1" spans="1:10">
      <c r="A55" s="207">
        <v>5</v>
      </c>
      <c r="B55" s="203" t="s">
        <v>313</v>
      </c>
      <c r="C55" s="203"/>
      <c r="D55" s="203"/>
      <c r="E55" s="203"/>
      <c r="F55" s="203"/>
      <c r="G55" s="203"/>
      <c r="H55" s="229">
        <f>'Aba Carregamento'!B72</f>
        <v>43466</v>
      </c>
      <c r="I55" s="229"/>
      <c r="J55" s="229"/>
    </row>
    <row r="56" spans="1:10">
      <c r="A56" s="216"/>
      <c r="B56" s="216"/>
      <c r="C56" s="216"/>
      <c r="D56" s="216"/>
      <c r="E56" s="216"/>
      <c r="F56" s="216"/>
      <c r="G56" s="216"/>
      <c r="H56" s="216"/>
      <c r="I56" s="216"/>
      <c r="J56" s="216"/>
    </row>
    <row r="57" ht="27.6" customHeight="1" spans="1:10">
      <c r="A57" s="230" t="s">
        <v>314</v>
      </c>
      <c r="B57" s="230"/>
      <c r="C57" s="230"/>
      <c r="D57" s="230"/>
      <c r="E57" s="230"/>
      <c r="F57" s="230"/>
      <c r="G57" s="230"/>
      <c r="H57" s="230"/>
      <c r="I57" s="230"/>
      <c r="J57" s="230"/>
    </row>
    <row r="58" spans="1:10">
      <c r="A58" s="216"/>
      <c r="B58" s="216"/>
      <c r="C58" s="216"/>
      <c r="D58" s="216"/>
      <c r="E58" s="216"/>
      <c r="F58" s="216"/>
      <c r="G58" s="216"/>
      <c r="H58" s="216"/>
      <c r="I58" s="216"/>
      <c r="J58" s="216"/>
    </row>
    <row r="59" ht="20.65" customHeight="1" spans="1:10">
      <c r="A59" s="224" t="s">
        <v>315</v>
      </c>
      <c r="B59" s="224"/>
      <c r="C59" s="224"/>
      <c r="D59" s="224"/>
      <c r="E59" s="224"/>
      <c r="F59" s="224"/>
      <c r="G59" s="224"/>
      <c r="H59" s="224"/>
      <c r="I59" s="224"/>
      <c r="J59" s="224"/>
    </row>
    <row r="60" ht="30.4" customHeight="1" spans="1:10">
      <c r="A60" s="225">
        <v>1</v>
      </c>
      <c r="B60" s="225" t="s">
        <v>316</v>
      </c>
      <c r="C60" s="225"/>
      <c r="D60" s="225"/>
      <c r="E60" s="225"/>
      <c r="F60" s="225"/>
      <c r="G60" s="225"/>
      <c r="H60" s="225" t="s">
        <v>317</v>
      </c>
      <c r="I60" s="225"/>
      <c r="J60" s="225" t="s">
        <v>318</v>
      </c>
    </row>
    <row r="61" ht="27.6" customHeight="1" spans="1:10">
      <c r="A61" s="207" t="s">
        <v>262</v>
      </c>
      <c r="B61" s="203" t="s">
        <v>319</v>
      </c>
      <c r="C61" s="203"/>
      <c r="D61" s="203"/>
      <c r="E61" s="203"/>
      <c r="F61" s="203"/>
      <c r="G61" s="203"/>
      <c r="H61" s="203"/>
      <c r="I61" s="203"/>
      <c r="J61" s="236">
        <f>H53/220*'Aba Carregamento'!B77</f>
        <v>1083.96</v>
      </c>
    </row>
    <row r="62" ht="14.65" customHeight="1" spans="1:10">
      <c r="A62" s="207" t="s">
        <v>264</v>
      </c>
      <c r="B62" s="203" t="s">
        <v>320</v>
      </c>
      <c r="C62" s="203"/>
      <c r="D62" s="203"/>
      <c r="E62" s="203"/>
      <c r="F62" s="203"/>
      <c r="G62" s="203"/>
      <c r="H62" s="203"/>
      <c r="I62" s="203"/>
      <c r="J62" s="236"/>
    </row>
    <row r="63" ht="14.65" customHeight="1" spans="1:10">
      <c r="A63" s="207" t="s">
        <v>266</v>
      </c>
      <c r="B63" s="203" t="s">
        <v>321</v>
      </c>
      <c r="C63" s="203"/>
      <c r="D63" s="203"/>
      <c r="E63" s="203"/>
      <c r="F63" s="203"/>
      <c r="G63" s="203"/>
      <c r="H63" s="203"/>
      <c r="I63" s="237">
        <v>0.4</v>
      </c>
      <c r="J63" s="236">
        <f>ROUND(I63*J61,2)</f>
        <v>433.58</v>
      </c>
    </row>
    <row r="64" ht="14.65" customHeight="1" spans="1:10">
      <c r="A64" s="207" t="s">
        <v>268</v>
      </c>
      <c r="B64" s="203" t="s">
        <v>322</v>
      </c>
      <c r="C64" s="203"/>
      <c r="D64" s="203"/>
      <c r="E64" s="203"/>
      <c r="F64" s="203"/>
      <c r="G64" s="203"/>
      <c r="H64" s="203"/>
      <c r="I64" s="203"/>
      <c r="J64" s="236"/>
    </row>
    <row r="65" ht="14.65" customHeight="1" spans="1:10">
      <c r="A65" s="207" t="s">
        <v>323</v>
      </c>
      <c r="B65" s="203" t="s">
        <v>324</v>
      </c>
      <c r="C65" s="203"/>
      <c r="D65" s="203"/>
      <c r="E65" s="203"/>
      <c r="F65" s="203"/>
      <c r="G65" s="203"/>
      <c r="H65" s="203"/>
      <c r="I65" s="203"/>
      <c r="J65" s="257"/>
    </row>
    <row r="66" ht="14.65" customHeight="1" spans="1:10">
      <c r="A66" s="207" t="s">
        <v>325</v>
      </c>
      <c r="B66" s="203" t="s">
        <v>326</v>
      </c>
      <c r="C66" s="203"/>
      <c r="D66" s="203"/>
      <c r="E66" s="203"/>
      <c r="F66" s="203"/>
      <c r="G66" s="203"/>
      <c r="H66" s="203"/>
      <c r="I66" s="203"/>
      <c r="J66" s="257"/>
    </row>
    <row r="67" ht="14.65" customHeight="1" spans="1:10">
      <c r="A67" s="207" t="s">
        <v>327</v>
      </c>
      <c r="B67" s="203" t="s">
        <v>328</v>
      </c>
      <c r="C67" s="203"/>
      <c r="D67" s="203"/>
      <c r="E67" s="203"/>
      <c r="F67" s="203"/>
      <c r="G67" s="203"/>
      <c r="H67" s="203"/>
      <c r="I67" s="203"/>
      <c r="J67" s="236"/>
    </row>
    <row r="68" ht="15.75" customHeight="1" spans="1:10">
      <c r="A68" s="238" t="s">
        <v>329</v>
      </c>
      <c r="B68" s="238"/>
      <c r="C68" s="238"/>
      <c r="D68" s="238"/>
      <c r="E68" s="238"/>
      <c r="F68" s="238"/>
      <c r="G68" s="238"/>
      <c r="H68" s="238"/>
      <c r="I68" s="238"/>
      <c r="J68" s="258">
        <f>SUM(J61:J67)</f>
        <v>1517.54</v>
      </c>
    </row>
    <row r="69" spans="1:10">
      <c r="A69" s="216"/>
      <c r="B69" s="216"/>
      <c r="C69" s="216"/>
      <c r="D69" s="216"/>
      <c r="E69" s="216"/>
      <c r="F69" s="216"/>
      <c r="G69" s="216"/>
      <c r="H69" s="216"/>
      <c r="I69" s="216"/>
      <c r="J69" s="216"/>
    </row>
    <row r="70" ht="39" customHeight="1" spans="1:10">
      <c r="A70" s="239" t="s">
        <v>330</v>
      </c>
      <c r="B70" s="239"/>
      <c r="C70" s="239"/>
      <c r="D70" s="239"/>
      <c r="E70" s="239"/>
      <c r="F70" s="239"/>
      <c r="G70" s="239"/>
      <c r="H70" s="239"/>
      <c r="I70" s="239"/>
      <c r="J70" s="239"/>
    </row>
    <row r="71" spans="1:10">
      <c r="A71" s="216"/>
      <c r="B71" s="216"/>
      <c r="C71" s="216"/>
      <c r="D71" s="216"/>
      <c r="E71" s="216"/>
      <c r="F71" s="216"/>
      <c r="G71" s="216"/>
      <c r="H71" s="216"/>
      <c r="I71" s="216"/>
      <c r="J71" s="216"/>
    </row>
    <row r="72" ht="16.15" customHeight="1" spans="1:10">
      <c r="A72" s="240" t="s">
        <v>331</v>
      </c>
      <c r="B72" s="240"/>
      <c r="C72" s="240"/>
      <c r="D72" s="240"/>
      <c r="E72" s="240"/>
      <c r="F72" s="240"/>
      <c r="G72" s="240"/>
      <c r="H72" s="240"/>
      <c r="I72" s="240"/>
      <c r="J72" s="240"/>
    </row>
    <row r="73" ht="15" spans="1:10">
      <c r="A73" s="241" t="s">
        <v>332</v>
      </c>
      <c r="B73" s="241"/>
      <c r="C73" s="241"/>
      <c r="D73" s="241"/>
      <c r="E73" s="241"/>
      <c r="F73" s="241"/>
      <c r="G73" s="241"/>
      <c r="H73" s="241"/>
      <c r="I73" s="241"/>
      <c r="J73" s="241"/>
    </row>
    <row r="74" ht="15" spans="1:10">
      <c r="A74" s="242" t="s">
        <v>333</v>
      </c>
      <c r="B74" s="243" t="s">
        <v>334</v>
      </c>
      <c r="C74" s="243"/>
      <c r="D74" s="243"/>
      <c r="E74" s="243"/>
      <c r="F74" s="243"/>
      <c r="G74" s="243"/>
      <c r="H74" s="243"/>
      <c r="I74" s="243"/>
      <c r="J74" s="209" t="s">
        <v>335</v>
      </c>
    </row>
    <row r="75" spans="1:10">
      <c r="A75" s="244" t="s">
        <v>262</v>
      </c>
      <c r="B75" s="245" t="s">
        <v>336</v>
      </c>
      <c r="C75" s="245"/>
      <c r="D75" s="245"/>
      <c r="E75" s="245"/>
      <c r="F75" s="245"/>
      <c r="G75" s="245"/>
      <c r="H75" s="245"/>
      <c r="I75" s="245"/>
      <c r="J75" s="259">
        <f>ROUND($J$68/12,2)</f>
        <v>126.46</v>
      </c>
    </row>
    <row r="76" spans="1:10">
      <c r="A76" s="244" t="s">
        <v>264</v>
      </c>
      <c r="B76" s="245" t="s">
        <v>337</v>
      </c>
      <c r="C76" s="245"/>
      <c r="D76" s="245"/>
      <c r="E76" s="245"/>
      <c r="F76" s="245"/>
      <c r="G76" s="245"/>
      <c r="H76" s="245"/>
      <c r="I76" s="245"/>
      <c r="J76" s="259">
        <f>ROUND(($J$68/3)/12,2)</f>
        <v>42.15</v>
      </c>
    </row>
    <row r="77" spans="1:10">
      <c r="A77" s="246" t="s">
        <v>338</v>
      </c>
      <c r="B77" s="246"/>
      <c r="C77" s="246"/>
      <c r="D77" s="246"/>
      <c r="E77" s="246"/>
      <c r="F77" s="246"/>
      <c r="G77" s="246"/>
      <c r="H77" s="246"/>
      <c r="I77" s="246"/>
      <c r="J77" s="260">
        <f>SUM(J75+J76)</f>
        <v>168.61</v>
      </c>
    </row>
    <row r="78" spans="1:10">
      <c r="A78" s="247" t="s">
        <v>266</v>
      </c>
      <c r="B78" s="245" t="s">
        <v>339</v>
      </c>
      <c r="C78" s="245"/>
      <c r="D78" s="245"/>
      <c r="E78" s="245"/>
      <c r="F78" s="245"/>
      <c r="G78" s="245"/>
      <c r="H78" s="245"/>
      <c r="I78" s="245"/>
      <c r="J78" s="261">
        <f>ROUND(I93*J77,2)</f>
        <v>62.05</v>
      </c>
    </row>
    <row r="79" spans="1:10">
      <c r="A79" s="248" t="s">
        <v>338</v>
      </c>
      <c r="B79" s="248"/>
      <c r="C79" s="248"/>
      <c r="D79" s="248"/>
      <c r="E79" s="248"/>
      <c r="F79" s="248"/>
      <c r="G79" s="248"/>
      <c r="H79" s="248"/>
      <c r="I79" s="248"/>
      <c r="J79" s="262">
        <f>J77+J78</f>
        <v>230.66</v>
      </c>
    </row>
    <row r="80" spans="1:10">
      <c r="A80" s="216"/>
      <c r="B80" s="216"/>
      <c r="C80" s="216"/>
      <c r="D80" s="216"/>
      <c r="E80" s="216"/>
      <c r="F80" s="216"/>
      <c r="G80" s="216"/>
      <c r="H80" s="216"/>
      <c r="I80" s="216"/>
      <c r="J80" s="216"/>
    </row>
    <row r="81" ht="48.2" customHeight="1" spans="1:10">
      <c r="A81" s="223" t="s">
        <v>340</v>
      </c>
      <c r="B81" s="223"/>
      <c r="C81" s="223"/>
      <c r="D81" s="223"/>
      <c r="E81" s="223"/>
      <c r="F81" s="223"/>
      <c r="G81" s="223"/>
      <c r="H81" s="223"/>
      <c r="I81" s="223"/>
      <c r="J81" s="223"/>
    </row>
    <row r="82" spans="1:10">
      <c r="A82" s="216"/>
      <c r="B82" s="216"/>
      <c r="C82" s="216"/>
      <c r="D82" s="216"/>
      <c r="E82" s="216"/>
      <c r="F82" s="216"/>
      <c r="G82" s="216"/>
      <c r="H82" s="216"/>
      <c r="I82" s="216"/>
      <c r="J82" s="216"/>
    </row>
    <row r="83" ht="30.4" customHeight="1" spans="1:10">
      <c r="A83" s="240" t="s">
        <v>341</v>
      </c>
      <c r="B83" s="240"/>
      <c r="C83" s="240"/>
      <c r="D83" s="240"/>
      <c r="E83" s="240"/>
      <c r="F83" s="240"/>
      <c r="G83" s="240"/>
      <c r="H83" s="240"/>
      <c r="I83" s="240"/>
      <c r="J83" s="240"/>
    </row>
    <row r="84" ht="30" spans="1:10">
      <c r="A84" s="249" t="s">
        <v>342</v>
      </c>
      <c r="B84" s="249" t="s">
        <v>343</v>
      </c>
      <c r="C84" s="249"/>
      <c r="D84" s="249"/>
      <c r="E84" s="249"/>
      <c r="F84" s="249"/>
      <c r="G84" s="249"/>
      <c r="H84" s="249"/>
      <c r="I84" s="225" t="s">
        <v>344</v>
      </c>
      <c r="J84" s="225" t="s">
        <v>345</v>
      </c>
    </row>
    <row r="85" spans="1:10">
      <c r="A85" s="244" t="s">
        <v>262</v>
      </c>
      <c r="B85" s="245" t="s">
        <v>346</v>
      </c>
      <c r="C85" s="245"/>
      <c r="D85" s="245"/>
      <c r="E85" s="245"/>
      <c r="F85" s="245"/>
      <c r="G85" s="245"/>
      <c r="H85" s="245"/>
      <c r="I85" s="263">
        <v>0.2</v>
      </c>
      <c r="J85" s="264">
        <f t="shared" ref="J85:J92" si="0">ROUND($J$68*I85,2)</f>
        <v>303.51</v>
      </c>
    </row>
    <row r="86" spans="1:10">
      <c r="A86" s="244" t="s">
        <v>264</v>
      </c>
      <c r="B86" s="245" t="s">
        <v>347</v>
      </c>
      <c r="C86" s="245"/>
      <c r="D86" s="245"/>
      <c r="E86" s="245"/>
      <c r="F86" s="245"/>
      <c r="G86" s="245"/>
      <c r="H86" s="245"/>
      <c r="I86" s="265">
        <v>0.025</v>
      </c>
      <c r="J86" s="264">
        <f t="shared" si="0"/>
        <v>37.94</v>
      </c>
    </row>
    <row r="87" ht="46.5" customHeight="1" spans="1:10">
      <c r="A87" s="244" t="s">
        <v>266</v>
      </c>
      <c r="B87" s="250" t="s">
        <v>348</v>
      </c>
      <c r="C87" s="250"/>
      <c r="D87" s="250"/>
      <c r="E87" s="251" t="s">
        <v>349</v>
      </c>
      <c r="F87" s="252">
        <f>'Aba Carregamento'!B83</f>
        <v>0.03</v>
      </c>
      <c r="G87" s="251" t="s">
        <v>350</v>
      </c>
      <c r="H87" s="253">
        <f>'Aba Carregamento'!B84</f>
        <v>1</v>
      </c>
      <c r="I87" s="266">
        <f>ROUND((F87*H87),6)</f>
        <v>0.03</v>
      </c>
      <c r="J87" s="264">
        <f t="shared" si="0"/>
        <v>45.53</v>
      </c>
    </row>
    <row r="88" spans="1:10">
      <c r="A88" s="244" t="s">
        <v>268</v>
      </c>
      <c r="B88" s="245" t="s">
        <v>351</v>
      </c>
      <c r="C88" s="245"/>
      <c r="D88" s="245"/>
      <c r="E88" s="245"/>
      <c r="F88" s="245"/>
      <c r="G88" s="245"/>
      <c r="H88" s="245"/>
      <c r="I88" s="263">
        <v>0.015</v>
      </c>
      <c r="J88" s="264">
        <f t="shared" si="0"/>
        <v>22.76</v>
      </c>
    </row>
    <row r="89" spans="1:10">
      <c r="A89" s="244" t="s">
        <v>323</v>
      </c>
      <c r="B89" s="245" t="s">
        <v>352</v>
      </c>
      <c r="C89" s="245"/>
      <c r="D89" s="245"/>
      <c r="E89" s="245"/>
      <c r="F89" s="245"/>
      <c r="G89" s="245"/>
      <c r="H89" s="245"/>
      <c r="I89" s="263">
        <v>0.01</v>
      </c>
      <c r="J89" s="264">
        <f t="shared" si="0"/>
        <v>15.18</v>
      </c>
    </row>
    <row r="90" spans="1:10">
      <c r="A90" s="244" t="s">
        <v>325</v>
      </c>
      <c r="B90" s="245" t="s">
        <v>353</v>
      </c>
      <c r="C90" s="245"/>
      <c r="D90" s="245"/>
      <c r="E90" s="245"/>
      <c r="F90" s="245"/>
      <c r="G90" s="245"/>
      <c r="H90" s="245"/>
      <c r="I90" s="265">
        <v>0.006</v>
      </c>
      <c r="J90" s="264">
        <f t="shared" si="0"/>
        <v>9.11</v>
      </c>
    </row>
    <row r="91" spans="1:10">
      <c r="A91" s="244" t="s">
        <v>327</v>
      </c>
      <c r="B91" s="245" t="s">
        <v>354</v>
      </c>
      <c r="C91" s="245"/>
      <c r="D91" s="245"/>
      <c r="E91" s="245"/>
      <c r="F91" s="245"/>
      <c r="G91" s="245"/>
      <c r="H91" s="245"/>
      <c r="I91" s="263">
        <v>0.002</v>
      </c>
      <c r="J91" s="264">
        <f t="shared" si="0"/>
        <v>3.04</v>
      </c>
    </row>
    <row r="92" spans="1:10">
      <c r="A92" s="244" t="s">
        <v>355</v>
      </c>
      <c r="B92" s="245" t="s">
        <v>356</v>
      </c>
      <c r="C92" s="245"/>
      <c r="D92" s="245"/>
      <c r="E92" s="245"/>
      <c r="F92" s="245"/>
      <c r="G92" s="245"/>
      <c r="H92" s="245"/>
      <c r="I92" s="265">
        <v>0.08</v>
      </c>
      <c r="J92" s="264">
        <f t="shared" si="0"/>
        <v>121.4</v>
      </c>
    </row>
    <row r="93" spans="1:10">
      <c r="A93" s="248" t="s">
        <v>338</v>
      </c>
      <c r="B93" s="248"/>
      <c r="C93" s="248"/>
      <c r="D93" s="248"/>
      <c r="E93" s="248"/>
      <c r="F93" s="248"/>
      <c r="G93" s="248"/>
      <c r="H93" s="248"/>
      <c r="I93" s="267">
        <f>SUM(I85:I92)</f>
        <v>0.368</v>
      </c>
      <c r="J93" s="262">
        <f>SUM(J85:J92)</f>
        <v>558.47</v>
      </c>
    </row>
    <row r="94" spans="1:10">
      <c r="A94" s="216"/>
      <c r="B94" s="216"/>
      <c r="C94" s="216"/>
      <c r="D94" s="216"/>
      <c r="E94" s="216"/>
      <c r="F94" s="216"/>
      <c r="G94" s="216"/>
      <c r="H94" s="216"/>
      <c r="I94" s="216"/>
      <c r="J94" s="216"/>
    </row>
    <row r="95" ht="37.35" customHeight="1" spans="1:10">
      <c r="A95" s="223" t="s">
        <v>357</v>
      </c>
      <c r="B95" s="223"/>
      <c r="C95" s="223"/>
      <c r="D95" s="223"/>
      <c r="E95" s="223"/>
      <c r="F95" s="223"/>
      <c r="G95" s="223"/>
      <c r="H95" s="223"/>
      <c r="I95" s="223"/>
      <c r="J95" s="223"/>
    </row>
    <row r="96" spans="1:10">
      <c r="A96" s="216"/>
      <c r="B96" s="216"/>
      <c r="C96" s="216"/>
      <c r="D96" s="216"/>
      <c r="E96" s="216"/>
      <c r="F96" s="216"/>
      <c r="G96" s="216"/>
      <c r="H96" s="216"/>
      <c r="I96" s="216"/>
      <c r="J96" s="216"/>
    </row>
    <row r="97" ht="16.15" customHeight="1" spans="1:10">
      <c r="A97" s="240" t="s">
        <v>358</v>
      </c>
      <c r="B97" s="240"/>
      <c r="C97" s="240"/>
      <c r="D97" s="240"/>
      <c r="E97" s="240"/>
      <c r="F97" s="240"/>
      <c r="G97" s="240"/>
      <c r="H97" s="240"/>
      <c r="I97" s="240"/>
      <c r="J97" s="240"/>
    </row>
    <row r="98" ht="15" spans="1:10">
      <c r="A98" s="249" t="s">
        <v>359</v>
      </c>
      <c r="B98" s="249" t="s">
        <v>360</v>
      </c>
      <c r="C98" s="249"/>
      <c r="D98" s="249"/>
      <c r="E98" s="249"/>
      <c r="F98" s="249"/>
      <c r="G98" s="249"/>
      <c r="H98" s="249"/>
      <c r="I98" s="249"/>
      <c r="J98" s="225" t="s">
        <v>335</v>
      </c>
    </row>
    <row r="99" spans="1:10">
      <c r="A99" s="244" t="s">
        <v>262</v>
      </c>
      <c r="B99" s="245" t="s">
        <v>361</v>
      </c>
      <c r="C99" s="245"/>
      <c r="D99" s="245"/>
      <c r="E99" s="245"/>
      <c r="F99" s="245"/>
      <c r="G99" s="245"/>
      <c r="H99" s="245"/>
      <c r="I99" s="245"/>
      <c r="J99" s="268">
        <f>IF(ROUND((I102*I100*I101)-(J61*0.06),2)&lt;0,0,ROUND((I102*I100*I101)-(J61*0.06),2))*1+(I100*I101*21.726-0.06*J61)*0</f>
        <v>132.36</v>
      </c>
    </row>
    <row r="100" spans="1:10">
      <c r="A100" s="244"/>
      <c r="B100" s="254" t="s">
        <v>362</v>
      </c>
      <c r="C100" s="254"/>
      <c r="D100" s="254"/>
      <c r="E100" s="254"/>
      <c r="F100" s="254"/>
      <c r="G100" s="254"/>
      <c r="H100" s="254"/>
      <c r="I100" s="269">
        <f>'Aba Carregamento'!B88</f>
        <v>4.7</v>
      </c>
      <c r="J100" s="270" t="s">
        <v>363</v>
      </c>
    </row>
    <row r="101" spans="1:10">
      <c r="A101" s="244"/>
      <c r="B101" s="254" t="s">
        <v>364</v>
      </c>
      <c r="C101" s="254"/>
      <c r="D101" s="254"/>
      <c r="E101" s="254"/>
      <c r="F101" s="254"/>
      <c r="G101" s="254"/>
      <c r="H101" s="254"/>
      <c r="I101" s="271">
        <f>'Aba Carregamento'!B89</f>
        <v>2</v>
      </c>
      <c r="J101" s="270"/>
    </row>
    <row r="102" spans="1:10">
      <c r="A102" s="244"/>
      <c r="B102" s="254" t="s">
        <v>365</v>
      </c>
      <c r="C102" s="254"/>
      <c r="D102" s="254"/>
      <c r="E102" s="254"/>
      <c r="F102" s="254"/>
      <c r="G102" s="254"/>
      <c r="H102" s="254"/>
      <c r="I102" s="272">
        <f>'Aba Carregamento'!B90</f>
        <v>21</v>
      </c>
      <c r="J102" s="270"/>
    </row>
    <row r="103" spans="1:10">
      <c r="A103" s="244" t="s">
        <v>264</v>
      </c>
      <c r="B103" s="245" t="s">
        <v>366</v>
      </c>
      <c r="C103" s="245"/>
      <c r="D103" s="245"/>
      <c r="E103" s="245"/>
      <c r="F103" s="245"/>
      <c r="G103" s="245"/>
      <c r="H103" s="245"/>
      <c r="I103" s="245"/>
      <c r="J103" s="268">
        <f>ROUND(I105*I104*(1-I106),2)*1+ROUND(21.726*6*(1-I106),2)*0</f>
        <v>284.58</v>
      </c>
    </row>
    <row r="104" spans="1:10">
      <c r="A104" s="244"/>
      <c r="B104" s="254" t="s">
        <v>367</v>
      </c>
      <c r="C104" s="254"/>
      <c r="D104" s="254"/>
      <c r="E104" s="254"/>
      <c r="F104" s="254"/>
      <c r="G104" s="254"/>
      <c r="H104" s="254"/>
      <c r="I104" s="269">
        <f>'Aba Carregamento'!B85</f>
        <v>16.73</v>
      </c>
      <c r="J104" s="270" t="s">
        <v>363</v>
      </c>
    </row>
    <row r="105" spans="1:10">
      <c r="A105" s="255"/>
      <c r="B105" s="254" t="s">
        <v>368</v>
      </c>
      <c r="C105" s="254"/>
      <c r="D105" s="254"/>
      <c r="E105" s="254"/>
      <c r="F105" s="254"/>
      <c r="G105" s="254"/>
      <c r="H105" s="254"/>
      <c r="I105" s="273">
        <f>'Aba Carregamento'!B87</f>
        <v>21</v>
      </c>
      <c r="J105" s="270"/>
    </row>
    <row r="106" spans="1:17">
      <c r="A106" s="255"/>
      <c r="B106" s="254" t="s">
        <v>369</v>
      </c>
      <c r="C106" s="254"/>
      <c r="D106" s="254"/>
      <c r="E106" s="254"/>
      <c r="F106" s="254"/>
      <c r="G106" s="254"/>
      <c r="H106" s="254"/>
      <c r="I106" s="274">
        <f>'Aba Carregamento'!B86</f>
        <v>0.19</v>
      </c>
      <c r="J106" s="270"/>
      <c r="Q106" s="280"/>
    </row>
    <row r="107" spans="1:10">
      <c r="A107" s="244" t="s">
        <v>266</v>
      </c>
      <c r="B107" s="245" t="s">
        <v>370</v>
      </c>
      <c r="C107" s="245"/>
      <c r="D107" s="245"/>
      <c r="E107" s="245"/>
      <c r="F107" s="245"/>
      <c r="G107" s="245"/>
      <c r="H107" s="245"/>
      <c r="I107" s="245"/>
      <c r="J107" s="268">
        <v>0</v>
      </c>
    </row>
    <row r="108" spans="1:10">
      <c r="A108" s="244" t="s">
        <v>268</v>
      </c>
      <c r="B108" s="245" t="s">
        <v>371</v>
      </c>
      <c r="C108" s="245"/>
      <c r="D108" s="245"/>
      <c r="E108" s="245"/>
      <c r="F108" s="245"/>
      <c r="G108" s="245"/>
      <c r="H108" s="245"/>
      <c r="I108" s="245"/>
      <c r="J108" s="275">
        <v>0</v>
      </c>
    </row>
    <row r="109" ht="27.6" customHeight="1" spans="1:10">
      <c r="A109" s="244" t="s">
        <v>268</v>
      </c>
      <c r="B109" s="250" t="s">
        <v>560</v>
      </c>
      <c r="C109" s="250"/>
      <c r="D109" s="250"/>
      <c r="E109" s="250"/>
      <c r="F109" s="250"/>
      <c r="G109" s="250"/>
      <c r="H109" s="250"/>
      <c r="I109" s="250"/>
      <c r="J109" s="268">
        <v>0</v>
      </c>
    </row>
    <row r="110" ht="27.6" customHeight="1" spans="1:10">
      <c r="A110" s="244" t="s">
        <v>323</v>
      </c>
      <c r="B110" s="250" t="s">
        <v>561</v>
      </c>
      <c r="C110" s="250"/>
      <c r="D110" s="250"/>
      <c r="E110" s="250"/>
      <c r="F110" s="250"/>
      <c r="G110" s="250"/>
      <c r="H110" s="250"/>
      <c r="I110" s="250"/>
      <c r="J110" s="276">
        <f>'Aba Carregamento'!B91</f>
        <v>15.02</v>
      </c>
    </row>
    <row r="111" spans="1:10">
      <c r="A111" s="244" t="s">
        <v>325</v>
      </c>
      <c r="B111" s="245" t="s">
        <v>374</v>
      </c>
      <c r="C111" s="245"/>
      <c r="D111" s="245"/>
      <c r="E111" s="245"/>
      <c r="F111" s="245"/>
      <c r="G111" s="245"/>
      <c r="H111" s="245"/>
      <c r="I111" s="245"/>
      <c r="J111" s="277" t="s">
        <v>363</v>
      </c>
    </row>
    <row r="112" spans="1:10">
      <c r="A112" s="248" t="s">
        <v>329</v>
      </c>
      <c r="B112" s="248"/>
      <c r="C112" s="248"/>
      <c r="D112" s="248"/>
      <c r="E112" s="248"/>
      <c r="F112" s="248"/>
      <c r="G112" s="248"/>
      <c r="H112" s="248"/>
      <c r="I112" s="248"/>
      <c r="J112" s="262">
        <f>SUM(J99:J110)</f>
        <v>431.96</v>
      </c>
    </row>
    <row r="113" spans="1:10">
      <c r="A113" s="216"/>
      <c r="B113" s="216"/>
      <c r="C113" s="216"/>
      <c r="D113" s="216"/>
      <c r="E113" s="216"/>
      <c r="F113" s="216"/>
      <c r="G113" s="216"/>
      <c r="H113" s="216"/>
      <c r="I113" s="216"/>
      <c r="J113" s="216"/>
    </row>
    <row r="114" ht="37.35" customHeight="1" spans="1:10">
      <c r="A114" s="223" t="s">
        <v>375</v>
      </c>
      <c r="B114" s="223"/>
      <c r="C114" s="223"/>
      <c r="D114" s="223"/>
      <c r="E114" s="223"/>
      <c r="F114" s="223"/>
      <c r="G114" s="223"/>
      <c r="H114" s="223"/>
      <c r="I114" s="223"/>
      <c r="J114" s="223"/>
    </row>
    <row r="115" spans="1:10">
      <c r="A115" s="216"/>
      <c r="B115" s="216"/>
      <c r="C115" s="216"/>
      <c r="D115" s="216"/>
      <c r="E115" s="216"/>
      <c r="F115" s="216"/>
      <c r="G115" s="216"/>
      <c r="H115" s="216"/>
      <c r="I115" s="216"/>
      <c r="J115" s="216"/>
    </row>
    <row r="116" ht="16.15" customHeight="1" spans="1:10">
      <c r="A116" s="240" t="s">
        <v>376</v>
      </c>
      <c r="B116" s="240"/>
      <c r="C116" s="240"/>
      <c r="D116" s="240"/>
      <c r="E116" s="240"/>
      <c r="F116" s="240"/>
      <c r="G116" s="240"/>
      <c r="H116" s="240"/>
      <c r="I116" s="240"/>
      <c r="J116" s="240"/>
    </row>
    <row r="117" ht="16.15" customHeight="1" spans="1:10">
      <c r="A117" s="225">
        <v>2</v>
      </c>
      <c r="B117" s="225" t="s">
        <v>377</v>
      </c>
      <c r="C117" s="225"/>
      <c r="D117" s="225"/>
      <c r="E117" s="225"/>
      <c r="F117" s="225"/>
      <c r="G117" s="225"/>
      <c r="H117" s="225"/>
      <c r="I117" s="225"/>
      <c r="J117" s="225" t="s">
        <v>335</v>
      </c>
    </row>
    <row r="118" ht="14.65" customHeight="1" spans="1:10">
      <c r="A118" s="256" t="s">
        <v>333</v>
      </c>
      <c r="B118" s="250" t="s">
        <v>562</v>
      </c>
      <c r="C118" s="250"/>
      <c r="D118" s="250"/>
      <c r="E118" s="250"/>
      <c r="F118" s="250"/>
      <c r="G118" s="250"/>
      <c r="H118" s="250"/>
      <c r="I118" s="250"/>
      <c r="J118" s="278">
        <f>J79</f>
        <v>230.66</v>
      </c>
    </row>
    <row r="119" ht="14.65" customHeight="1" spans="1:10">
      <c r="A119" s="256" t="s">
        <v>342</v>
      </c>
      <c r="B119" s="250" t="s">
        <v>343</v>
      </c>
      <c r="C119" s="250"/>
      <c r="D119" s="250"/>
      <c r="E119" s="250"/>
      <c r="F119" s="250"/>
      <c r="G119" s="250"/>
      <c r="H119" s="250"/>
      <c r="I119" s="250"/>
      <c r="J119" s="278">
        <f>J93</f>
        <v>558.47</v>
      </c>
    </row>
    <row r="120" ht="14.65" customHeight="1" spans="1:10">
      <c r="A120" s="256" t="s">
        <v>359</v>
      </c>
      <c r="B120" s="250" t="s">
        <v>360</v>
      </c>
      <c r="C120" s="250"/>
      <c r="D120" s="250"/>
      <c r="E120" s="250"/>
      <c r="F120" s="250"/>
      <c r="G120" s="250"/>
      <c r="H120" s="250"/>
      <c r="I120" s="250"/>
      <c r="J120" s="278">
        <f>J112</f>
        <v>431.96</v>
      </c>
    </row>
    <row r="121" ht="14.65" customHeight="1" spans="1:10">
      <c r="A121" s="238" t="s">
        <v>338</v>
      </c>
      <c r="B121" s="238"/>
      <c r="C121" s="238"/>
      <c r="D121" s="238"/>
      <c r="E121" s="238"/>
      <c r="F121" s="238"/>
      <c r="G121" s="238"/>
      <c r="H121" s="238"/>
      <c r="I121" s="238"/>
      <c r="J121" s="279">
        <f>SUM(J118+J119+J120)</f>
        <v>1221.09</v>
      </c>
    </row>
    <row r="122" spans="1:10">
      <c r="A122" s="216"/>
      <c r="B122" s="216"/>
      <c r="C122" s="216"/>
      <c r="D122" s="216"/>
      <c r="E122" s="216"/>
      <c r="F122" s="216"/>
      <c r="G122" s="216"/>
      <c r="H122" s="216"/>
      <c r="I122" s="216"/>
      <c r="J122" s="216"/>
    </row>
    <row r="123" ht="16.15" customHeight="1" spans="1:10">
      <c r="A123" s="240" t="s">
        <v>379</v>
      </c>
      <c r="B123" s="240"/>
      <c r="C123" s="240"/>
      <c r="D123" s="240"/>
      <c r="E123" s="240"/>
      <c r="F123" s="240"/>
      <c r="G123" s="240"/>
      <c r="H123" s="240"/>
      <c r="I123" s="240"/>
      <c r="J123" s="240"/>
    </row>
    <row r="124" ht="15" spans="1:10">
      <c r="A124" s="249">
        <v>3</v>
      </c>
      <c r="B124" s="249" t="s">
        <v>380</v>
      </c>
      <c r="C124" s="249"/>
      <c r="D124" s="249"/>
      <c r="E124" s="249"/>
      <c r="F124" s="249"/>
      <c r="G124" s="249"/>
      <c r="H124" s="249"/>
      <c r="I124" s="249"/>
      <c r="J124" s="249" t="s">
        <v>381</v>
      </c>
    </row>
    <row r="125" ht="46.5" customHeight="1" spans="1:10">
      <c r="A125" s="244" t="s">
        <v>262</v>
      </c>
      <c r="B125" s="250" t="s">
        <v>382</v>
      </c>
      <c r="C125" s="250"/>
      <c r="D125" s="250"/>
      <c r="E125" s="250"/>
      <c r="F125" s="250"/>
      <c r="G125" s="250"/>
      <c r="H125" s="250"/>
      <c r="I125" s="250"/>
      <c r="J125" s="264">
        <f>ROUND((($J$68/12)+($J$75/12)+($J$68/12/12)+($J$76/12))*(30/30)*0.05,2)</f>
        <v>7.55</v>
      </c>
    </row>
    <row r="126" ht="14.65" customHeight="1" spans="1:10">
      <c r="A126" s="244" t="s">
        <v>264</v>
      </c>
      <c r="B126" s="250" t="s">
        <v>383</v>
      </c>
      <c r="C126" s="250"/>
      <c r="D126" s="250"/>
      <c r="E126" s="250"/>
      <c r="F126" s="250"/>
      <c r="G126" s="250"/>
      <c r="H126" s="250"/>
      <c r="I126" s="250"/>
      <c r="J126" s="264">
        <f>ROUND($J$125*I92,2)</f>
        <v>0.6</v>
      </c>
    </row>
    <row r="127" ht="27.6" customHeight="1" spans="1:10">
      <c r="A127" s="244" t="s">
        <v>266</v>
      </c>
      <c r="B127" s="250" t="s">
        <v>384</v>
      </c>
      <c r="C127" s="250"/>
      <c r="D127" s="250"/>
      <c r="E127" s="250"/>
      <c r="F127" s="250"/>
      <c r="G127" s="250"/>
      <c r="H127" s="250"/>
      <c r="I127" s="250"/>
      <c r="J127" s="264">
        <f>ROUND(0.08*0.4*($J$68+$J$75+$J$76+J138)*0.05,2)</f>
        <v>2.7</v>
      </c>
    </row>
    <row r="128" ht="27.6" customHeight="1" spans="1:10">
      <c r="A128" s="244" t="s">
        <v>268</v>
      </c>
      <c r="B128" s="250" t="s">
        <v>385</v>
      </c>
      <c r="C128" s="250"/>
      <c r="D128" s="250"/>
      <c r="E128" s="250"/>
      <c r="F128" s="250"/>
      <c r="G128" s="250"/>
      <c r="H128" s="250"/>
      <c r="I128" s="250"/>
      <c r="J128" s="264">
        <f>ROUND(((($J$68/30)*7)/$H$10)*0.9,2)</f>
        <v>15.93</v>
      </c>
    </row>
    <row r="129" ht="14.65" customHeight="1" spans="1:10">
      <c r="A129" s="244" t="s">
        <v>323</v>
      </c>
      <c r="B129" s="250" t="s">
        <v>386</v>
      </c>
      <c r="C129" s="250"/>
      <c r="D129" s="250"/>
      <c r="E129" s="250"/>
      <c r="F129" s="250"/>
      <c r="G129" s="250"/>
      <c r="H129" s="250"/>
      <c r="I129" s="250"/>
      <c r="J129" s="264">
        <f>ROUND($I$93*J128,2)</f>
        <v>5.86</v>
      </c>
    </row>
    <row r="130" ht="27.6" customHeight="1" spans="1:10">
      <c r="A130" s="244" t="s">
        <v>325</v>
      </c>
      <c r="B130" s="250" t="s">
        <v>387</v>
      </c>
      <c r="C130" s="250"/>
      <c r="D130" s="250"/>
      <c r="E130" s="250"/>
      <c r="F130" s="250"/>
      <c r="G130" s="250"/>
      <c r="H130" s="250"/>
      <c r="I130" s="250"/>
      <c r="J130" s="264">
        <f>ROUND(0.08*0.4*($J$68+$J$75+$J$76+J138)*0.9,2)</f>
        <v>48.56</v>
      </c>
    </row>
    <row r="131" spans="1:10">
      <c r="A131" s="248" t="s">
        <v>338</v>
      </c>
      <c r="B131" s="248"/>
      <c r="C131" s="248"/>
      <c r="D131" s="248"/>
      <c r="E131" s="248"/>
      <c r="F131" s="248"/>
      <c r="G131" s="248"/>
      <c r="H131" s="248"/>
      <c r="I131" s="248"/>
      <c r="J131" s="262">
        <f>SUM(J125:J130)</f>
        <v>81.2</v>
      </c>
    </row>
    <row r="132" ht="43" customHeight="1" spans="1:10">
      <c r="A132" s="125" t="s">
        <v>388</v>
      </c>
      <c r="B132" s="125"/>
      <c r="C132" s="125"/>
      <c r="D132" s="125"/>
      <c r="E132" s="125"/>
      <c r="F132" s="125"/>
      <c r="G132" s="125"/>
      <c r="H132" s="125"/>
      <c r="I132" s="125"/>
      <c r="J132" s="125"/>
    </row>
    <row r="133" ht="16.15" customHeight="1" spans="1:10">
      <c r="A133" s="240" t="s">
        <v>389</v>
      </c>
      <c r="B133" s="240"/>
      <c r="C133" s="240"/>
      <c r="D133" s="240"/>
      <c r="E133" s="240"/>
      <c r="F133" s="240"/>
      <c r="G133" s="240"/>
      <c r="H133" s="240"/>
      <c r="I133" s="240"/>
      <c r="J133" s="240"/>
    </row>
    <row r="134" ht="37.35" customHeight="1" spans="1:10">
      <c r="A134" s="223" t="s">
        <v>390</v>
      </c>
      <c r="B134" s="223"/>
      <c r="C134" s="223"/>
      <c r="D134" s="223"/>
      <c r="E134" s="223"/>
      <c r="F134" s="223"/>
      <c r="G134" s="223"/>
      <c r="H134" s="223"/>
      <c r="I134" s="223"/>
      <c r="J134" s="223"/>
    </row>
    <row r="135" ht="42.4" customHeight="1" spans="1:10">
      <c r="A135" s="281" t="s">
        <v>391</v>
      </c>
      <c r="B135" s="281"/>
      <c r="C135" s="281"/>
      <c r="D135" s="281"/>
      <c r="E135" s="281"/>
      <c r="F135" s="281"/>
      <c r="G135" s="281"/>
      <c r="H135" s="281"/>
      <c r="I135" s="281"/>
      <c r="J135" s="288">
        <f>ROUND(J68/12,2)+J68+J75+J76</f>
        <v>1812.61</v>
      </c>
    </row>
    <row r="136" ht="16.15" customHeight="1" spans="1:10">
      <c r="A136" s="240" t="s">
        <v>392</v>
      </c>
      <c r="B136" s="240"/>
      <c r="C136" s="240"/>
      <c r="D136" s="240"/>
      <c r="E136" s="240"/>
      <c r="F136" s="240"/>
      <c r="G136" s="240"/>
      <c r="H136" s="240"/>
      <c r="I136" s="240"/>
      <c r="J136" s="240"/>
    </row>
    <row r="137" ht="15" spans="1:10">
      <c r="A137" s="282" t="s">
        <v>393</v>
      </c>
      <c r="B137" s="249" t="s">
        <v>394</v>
      </c>
      <c r="C137" s="249"/>
      <c r="D137" s="249"/>
      <c r="E137" s="249"/>
      <c r="F137" s="249"/>
      <c r="G137" s="249"/>
      <c r="H137" s="249"/>
      <c r="I137" s="249"/>
      <c r="J137" s="282" t="s">
        <v>335</v>
      </c>
    </row>
    <row r="138" spans="1:10">
      <c r="A138" s="247" t="s">
        <v>262</v>
      </c>
      <c r="B138" s="245" t="s">
        <v>395</v>
      </c>
      <c r="C138" s="245"/>
      <c r="D138" s="245"/>
      <c r="E138" s="245"/>
      <c r="F138" s="245"/>
      <c r="G138" s="245"/>
      <c r="H138" s="245"/>
      <c r="I138" s="245"/>
      <c r="J138" s="264">
        <v>0</v>
      </c>
    </row>
    <row r="139" spans="1:10">
      <c r="A139" s="247" t="s">
        <v>264</v>
      </c>
      <c r="B139" s="245" t="s">
        <v>396</v>
      </c>
      <c r="C139" s="245"/>
      <c r="D139" s="245"/>
      <c r="E139" s="245"/>
      <c r="F139" s="245"/>
      <c r="G139" s="245"/>
      <c r="H139" s="245"/>
      <c r="I139" s="245"/>
      <c r="J139" s="289">
        <f>ROUND((($J$135/30)*2.96)/12,2)</f>
        <v>14.9</v>
      </c>
    </row>
    <row r="140" spans="1:10">
      <c r="A140" s="247" t="s">
        <v>266</v>
      </c>
      <c r="B140" s="245" t="s">
        <v>397</v>
      </c>
      <c r="C140" s="245"/>
      <c r="D140" s="245"/>
      <c r="E140" s="245"/>
      <c r="F140" s="245"/>
      <c r="G140" s="245"/>
      <c r="H140" s="245"/>
      <c r="I140" s="245"/>
      <c r="J140" s="289">
        <f>ROUND((($J$135/30)*5)/12*0.015,2)</f>
        <v>0.38</v>
      </c>
    </row>
    <row r="141" spans="1:10">
      <c r="A141" s="247" t="s">
        <v>268</v>
      </c>
      <c r="B141" s="245" t="s">
        <v>398</v>
      </c>
      <c r="C141" s="245"/>
      <c r="D141" s="245"/>
      <c r="E141" s="245"/>
      <c r="F141" s="245"/>
      <c r="G141" s="245"/>
      <c r="H141" s="245"/>
      <c r="I141" s="245"/>
      <c r="J141" s="261">
        <f>ROUND(((($J$135/30)*15)/12)*0.0078,2)</f>
        <v>0.59</v>
      </c>
    </row>
    <row r="142" spans="1:10">
      <c r="A142" s="247" t="s">
        <v>323</v>
      </c>
      <c r="B142" s="245" t="s">
        <v>399</v>
      </c>
      <c r="C142" s="245"/>
      <c r="D142" s="245"/>
      <c r="E142" s="245"/>
      <c r="F142" s="245"/>
      <c r="G142" s="245"/>
      <c r="H142" s="245"/>
      <c r="I142" s="245"/>
      <c r="J142" s="264">
        <f>ROUND(((($J$68+$J$68/3)*4/12)/12)*0.02,2)</f>
        <v>1.12</v>
      </c>
    </row>
    <row r="143" spans="1:10">
      <c r="A143" s="283" t="s">
        <v>325</v>
      </c>
      <c r="B143" s="284" t="s">
        <v>400</v>
      </c>
      <c r="C143" s="284"/>
      <c r="D143" s="284"/>
      <c r="E143" s="284"/>
      <c r="F143" s="284"/>
      <c r="G143" s="284"/>
      <c r="H143" s="284"/>
      <c r="I143" s="284"/>
      <c r="J143" s="261">
        <f>ROUND(((($J$135/30)*5)/12),2)</f>
        <v>25.18</v>
      </c>
    </row>
    <row r="144" spans="1:10">
      <c r="A144" s="248" t="s">
        <v>338</v>
      </c>
      <c r="B144" s="248"/>
      <c r="C144" s="248"/>
      <c r="D144" s="248"/>
      <c r="E144" s="248"/>
      <c r="F144" s="248"/>
      <c r="G144" s="248"/>
      <c r="H144" s="248"/>
      <c r="I144" s="248"/>
      <c r="J144" s="290">
        <f>SUM(J138:J143)</f>
        <v>42.17</v>
      </c>
    </row>
    <row r="145" spans="1:10">
      <c r="A145" s="247" t="s">
        <v>327</v>
      </c>
      <c r="B145" s="245" t="s">
        <v>401</v>
      </c>
      <c r="C145" s="245"/>
      <c r="D145" s="245"/>
      <c r="E145" s="245"/>
      <c r="F145" s="245"/>
      <c r="G145" s="245"/>
      <c r="H145" s="245"/>
      <c r="I145" s="245"/>
      <c r="J145" s="261">
        <f>ROUND(I93*J144,2)</f>
        <v>15.52</v>
      </c>
    </row>
    <row r="146" spans="1:10">
      <c r="A146" s="248" t="s">
        <v>338</v>
      </c>
      <c r="B146" s="248"/>
      <c r="C146" s="248"/>
      <c r="D146" s="248"/>
      <c r="E146" s="248"/>
      <c r="F146" s="248"/>
      <c r="G146" s="248"/>
      <c r="H146" s="248"/>
      <c r="I146" s="248"/>
      <c r="J146" s="262">
        <f>SUM(J144:J145)</f>
        <v>57.69</v>
      </c>
    </row>
    <row r="147" ht="63" customHeight="1" spans="1:10">
      <c r="A147" s="223" t="s">
        <v>563</v>
      </c>
      <c r="B147" s="223"/>
      <c r="C147" s="223"/>
      <c r="D147" s="223"/>
      <c r="E147" s="223"/>
      <c r="F147" s="223"/>
      <c r="G147" s="223"/>
      <c r="H147" s="223"/>
      <c r="I147" s="223"/>
      <c r="J147" s="223"/>
    </row>
    <row r="148" spans="1:10">
      <c r="A148" s="220"/>
      <c r="B148" s="220"/>
      <c r="C148" s="220"/>
      <c r="D148" s="220"/>
      <c r="E148" s="220"/>
      <c r="F148" s="220"/>
      <c r="G148" s="220"/>
      <c r="H148" s="220"/>
      <c r="I148" s="220"/>
      <c r="J148" s="220"/>
    </row>
    <row r="149" ht="16.15" customHeight="1" spans="1:10">
      <c r="A149" s="240" t="s">
        <v>403</v>
      </c>
      <c r="B149" s="240"/>
      <c r="C149" s="240"/>
      <c r="D149" s="240"/>
      <c r="E149" s="240"/>
      <c r="F149" s="240"/>
      <c r="G149" s="240"/>
      <c r="H149" s="240"/>
      <c r="I149" s="240"/>
      <c r="J149" s="240"/>
    </row>
    <row r="150" ht="15" spans="1:10">
      <c r="A150" s="249" t="s">
        <v>404</v>
      </c>
      <c r="B150" s="249" t="s">
        <v>405</v>
      </c>
      <c r="C150" s="249"/>
      <c r="D150" s="249"/>
      <c r="E150" s="249"/>
      <c r="F150" s="249"/>
      <c r="G150" s="249"/>
      <c r="H150" s="249"/>
      <c r="I150" s="249"/>
      <c r="J150" s="291" t="s">
        <v>335</v>
      </c>
    </row>
    <row r="151" spans="1:10">
      <c r="A151" s="244" t="s">
        <v>262</v>
      </c>
      <c r="B151" s="245" t="s">
        <v>406</v>
      </c>
      <c r="C151" s="245"/>
      <c r="D151" s="245"/>
      <c r="E151" s="245"/>
      <c r="F151" s="245"/>
      <c r="G151" s="245"/>
      <c r="H151" s="245"/>
      <c r="I151" s="245"/>
      <c r="J151" s="264">
        <v>0</v>
      </c>
    </row>
    <row r="152" spans="1:10">
      <c r="A152" s="260" t="s">
        <v>338</v>
      </c>
      <c r="B152" s="260"/>
      <c r="C152" s="260"/>
      <c r="D152" s="260"/>
      <c r="E152" s="260"/>
      <c r="F152" s="260"/>
      <c r="G152" s="260"/>
      <c r="H152" s="260"/>
      <c r="I152" s="260"/>
      <c r="J152" s="264">
        <v>0</v>
      </c>
    </row>
    <row r="153" spans="1:10">
      <c r="A153" s="247" t="s">
        <v>264</v>
      </c>
      <c r="B153" s="245" t="s">
        <v>407</v>
      </c>
      <c r="C153" s="245"/>
      <c r="D153" s="245"/>
      <c r="E153" s="245"/>
      <c r="F153" s="245"/>
      <c r="G153" s="245"/>
      <c r="H153" s="245"/>
      <c r="I153" s="245"/>
      <c r="J153" s="261">
        <f>ROUND(I93*J152,2)</f>
        <v>0</v>
      </c>
    </row>
    <row r="154" spans="1:10">
      <c r="A154" s="248" t="s">
        <v>338</v>
      </c>
      <c r="B154" s="248"/>
      <c r="C154" s="248"/>
      <c r="D154" s="248"/>
      <c r="E154" s="248"/>
      <c r="F154" s="248"/>
      <c r="G154" s="248"/>
      <c r="H154" s="248"/>
      <c r="I154" s="248"/>
      <c r="J154" s="262">
        <f>SUM(J152:J153)</f>
        <v>0</v>
      </c>
    </row>
    <row r="155" spans="1:10">
      <c r="A155" s="220"/>
      <c r="B155" s="220"/>
      <c r="C155" s="220"/>
      <c r="D155" s="220"/>
      <c r="E155" s="220"/>
      <c r="F155" s="220"/>
      <c r="G155" s="220"/>
      <c r="H155" s="220"/>
      <c r="I155" s="220"/>
      <c r="J155" s="220"/>
    </row>
    <row r="156" ht="25.9" customHeight="1" spans="1:10">
      <c r="A156" s="223" t="s">
        <v>408</v>
      </c>
      <c r="B156" s="223"/>
      <c r="C156" s="223"/>
      <c r="D156" s="223"/>
      <c r="E156" s="223"/>
      <c r="F156" s="223"/>
      <c r="G156" s="223"/>
      <c r="H156" s="223"/>
      <c r="I156" s="223"/>
      <c r="J156" s="223"/>
    </row>
    <row r="157" spans="1:10">
      <c r="A157" s="220"/>
      <c r="B157" s="220"/>
      <c r="C157" s="220"/>
      <c r="D157" s="220"/>
      <c r="E157" s="220"/>
      <c r="F157" s="220"/>
      <c r="G157" s="220"/>
      <c r="H157" s="220"/>
      <c r="I157" s="220"/>
      <c r="J157" s="220"/>
    </row>
    <row r="158" ht="16.15" customHeight="1" spans="1:10">
      <c r="A158" s="240" t="s">
        <v>409</v>
      </c>
      <c r="B158" s="240"/>
      <c r="C158" s="240"/>
      <c r="D158" s="240"/>
      <c r="E158" s="240"/>
      <c r="F158" s="240"/>
      <c r="G158" s="240"/>
      <c r="H158" s="240"/>
      <c r="I158" s="240"/>
      <c r="J158" s="240"/>
    </row>
    <row r="159" ht="16.35" customHeight="1" spans="1:10">
      <c r="A159" s="225">
        <v>4</v>
      </c>
      <c r="B159" s="225" t="s">
        <v>410</v>
      </c>
      <c r="C159" s="225"/>
      <c r="D159" s="225"/>
      <c r="E159" s="225"/>
      <c r="F159" s="225"/>
      <c r="G159" s="225"/>
      <c r="H159" s="225"/>
      <c r="I159" s="225"/>
      <c r="J159" s="291" t="s">
        <v>335</v>
      </c>
    </row>
    <row r="160" ht="14.65" customHeight="1" spans="1:10">
      <c r="A160" s="256" t="s">
        <v>393</v>
      </c>
      <c r="B160" s="250" t="s">
        <v>394</v>
      </c>
      <c r="C160" s="250"/>
      <c r="D160" s="250"/>
      <c r="E160" s="250"/>
      <c r="F160" s="250"/>
      <c r="G160" s="250"/>
      <c r="H160" s="250"/>
      <c r="I160" s="250"/>
      <c r="J160" s="264">
        <f>J146</f>
        <v>57.69</v>
      </c>
    </row>
    <row r="161" ht="14.65" customHeight="1" spans="1:10">
      <c r="A161" s="256" t="s">
        <v>411</v>
      </c>
      <c r="B161" s="250" t="s">
        <v>405</v>
      </c>
      <c r="C161" s="250"/>
      <c r="D161" s="250"/>
      <c r="E161" s="250"/>
      <c r="F161" s="250"/>
      <c r="G161" s="250"/>
      <c r="H161" s="250"/>
      <c r="I161" s="250"/>
      <c r="J161" s="264">
        <f>J154</f>
        <v>0</v>
      </c>
    </row>
    <row r="162" ht="14.65" customHeight="1" spans="1:10">
      <c r="A162" s="238" t="s">
        <v>338</v>
      </c>
      <c r="B162" s="238"/>
      <c r="C162" s="238"/>
      <c r="D162" s="238"/>
      <c r="E162" s="238"/>
      <c r="F162" s="238"/>
      <c r="G162" s="238"/>
      <c r="H162" s="238"/>
      <c r="I162" s="238"/>
      <c r="J162" s="262">
        <f>SUM(J160+J161)</f>
        <v>57.69</v>
      </c>
    </row>
    <row r="163" spans="1:10">
      <c r="A163" s="216"/>
      <c r="B163" s="216"/>
      <c r="C163" s="216"/>
      <c r="D163" s="216"/>
      <c r="E163" s="216"/>
      <c r="F163" s="216"/>
      <c r="G163" s="216"/>
      <c r="H163" s="216"/>
      <c r="I163" s="216"/>
      <c r="J163" s="216"/>
    </row>
    <row r="164" ht="16.15" customHeight="1" spans="1:10">
      <c r="A164" s="240" t="s">
        <v>412</v>
      </c>
      <c r="B164" s="240"/>
      <c r="C164" s="240"/>
      <c r="D164" s="240"/>
      <c r="E164" s="240"/>
      <c r="F164" s="240"/>
      <c r="G164" s="240"/>
      <c r="H164" s="240"/>
      <c r="I164" s="240"/>
      <c r="J164" s="240"/>
    </row>
    <row r="165" ht="15" spans="1:10">
      <c r="A165" s="249">
        <v>5</v>
      </c>
      <c r="B165" s="249" t="s">
        <v>413</v>
      </c>
      <c r="C165" s="249"/>
      <c r="D165" s="249"/>
      <c r="E165" s="249"/>
      <c r="F165" s="249"/>
      <c r="G165" s="249"/>
      <c r="H165" s="249"/>
      <c r="I165" s="249"/>
      <c r="J165" s="249" t="s">
        <v>335</v>
      </c>
    </row>
    <row r="166" spans="1:10">
      <c r="A166" s="244" t="s">
        <v>262</v>
      </c>
      <c r="B166" s="245" t="s">
        <v>414</v>
      </c>
      <c r="C166" s="245"/>
      <c r="D166" s="245"/>
      <c r="E166" s="245"/>
      <c r="F166" s="245"/>
      <c r="G166" s="245"/>
      <c r="H166" s="245"/>
      <c r="I166" s="245"/>
      <c r="J166" s="292">
        <f>Insumos!F116</f>
        <v>63.0483333333333</v>
      </c>
    </row>
    <row r="167" spans="1:10">
      <c r="A167" s="244" t="s">
        <v>264</v>
      </c>
      <c r="B167" s="245" t="s">
        <v>415</v>
      </c>
      <c r="C167" s="245"/>
      <c r="D167" s="245"/>
      <c r="E167" s="245"/>
      <c r="F167" s="245"/>
      <c r="G167" s="245"/>
      <c r="H167" s="245"/>
      <c r="I167" s="245"/>
      <c r="J167" s="276">
        <f>Insumos!F112</f>
        <v>918.473405447845</v>
      </c>
    </row>
    <row r="168" spans="1:10">
      <c r="A168" s="244" t="s">
        <v>266</v>
      </c>
      <c r="B168" s="245" t="s">
        <v>416</v>
      </c>
      <c r="C168" s="245"/>
      <c r="D168" s="245"/>
      <c r="E168" s="245"/>
      <c r="F168" s="245"/>
      <c r="G168" s="245"/>
      <c r="H168" s="245"/>
      <c r="I168" s="245"/>
      <c r="J168" s="276">
        <f>Insumos!F114</f>
        <v>55.1116445148326</v>
      </c>
    </row>
    <row r="169" spans="1:10">
      <c r="A169" s="244" t="s">
        <v>268</v>
      </c>
      <c r="B169" s="245" t="s">
        <v>417</v>
      </c>
      <c r="C169" s="245"/>
      <c r="D169" s="245"/>
      <c r="E169" s="245"/>
      <c r="F169" s="245"/>
      <c r="G169" s="245"/>
      <c r="H169" s="245"/>
      <c r="I169" s="245"/>
      <c r="J169" s="275" t="s">
        <v>418</v>
      </c>
    </row>
    <row r="170" spans="1:10">
      <c r="A170" s="248" t="s">
        <v>329</v>
      </c>
      <c r="B170" s="248"/>
      <c r="C170" s="248"/>
      <c r="D170" s="248"/>
      <c r="E170" s="248"/>
      <c r="F170" s="248"/>
      <c r="G170" s="248"/>
      <c r="H170" s="248"/>
      <c r="I170" s="248"/>
      <c r="J170" s="293">
        <f>SUM(J166:J169)</f>
        <v>1036.63338329601</v>
      </c>
    </row>
    <row r="171" spans="1:10">
      <c r="A171" s="216"/>
      <c r="B171" s="216"/>
      <c r="C171" s="216"/>
      <c r="D171" s="216"/>
      <c r="E171" s="216"/>
      <c r="F171" s="216"/>
      <c r="G171" s="216"/>
      <c r="H171" s="216"/>
      <c r="I171" s="216"/>
      <c r="J171" s="216"/>
    </row>
    <row r="172" ht="14.65" customHeight="1" spans="1:10">
      <c r="A172" s="223" t="s">
        <v>419</v>
      </c>
      <c r="B172" s="223"/>
      <c r="C172" s="223"/>
      <c r="D172" s="223"/>
      <c r="E172" s="223"/>
      <c r="F172" s="223"/>
      <c r="G172" s="223"/>
      <c r="H172" s="223"/>
      <c r="I172" s="223"/>
      <c r="J172" s="223"/>
    </row>
    <row r="173" spans="1:10">
      <c r="A173" s="216"/>
      <c r="B173" s="216"/>
      <c r="C173" s="216"/>
      <c r="D173" s="216"/>
      <c r="E173" s="216"/>
      <c r="F173" s="216"/>
      <c r="G173" s="216"/>
      <c r="H173" s="216"/>
      <c r="I173" s="216"/>
      <c r="J173" s="216"/>
    </row>
    <row r="174" ht="16.15" customHeight="1" spans="1:10">
      <c r="A174" s="240" t="s">
        <v>420</v>
      </c>
      <c r="B174" s="240"/>
      <c r="C174" s="240"/>
      <c r="D174" s="240"/>
      <c r="E174" s="240"/>
      <c r="F174" s="240"/>
      <c r="G174" s="240"/>
      <c r="H174" s="240"/>
      <c r="I174" s="240"/>
      <c r="J174" s="240"/>
    </row>
    <row r="175" ht="30" spans="1:10">
      <c r="A175" s="249">
        <v>6</v>
      </c>
      <c r="B175" s="249" t="s">
        <v>421</v>
      </c>
      <c r="C175" s="249"/>
      <c r="D175" s="249"/>
      <c r="E175" s="249"/>
      <c r="F175" s="249"/>
      <c r="G175" s="249"/>
      <c r="H175" s="249"/>
      <c r="I175" s="225" t="s">
        <v>344</v>
      </c>
      <c r="J175" s="294" t="s">
        <v>422</v>
      </c>
    </row>
    <row r="176" ht="51" customHeight="1" spans="1:10">
      <c r="A176" s="285" t="s">
        <v>423</v>
      </c>
      <c r="B176" s="285"/>
      <c r="C176" s="285"/>
      <c r="D176" s="285"/>
      <c r="E176" s="285"/>
      <c r="F176" s="285"/>
      <c r="G176" s="285"/>
      <c r="H176" s="285"/>
      <c r="I176" s="295" t="s">
        <v>363</v>
      </c>
      <c r="J176" s="296">
        <f>SUM(J68+J121+J131+J162+J170)</f>
        <v>3914.15338329601</v>
      </c>
    </row>
    <row r="177" ht="15.75" spans="1:10">
      <c r="A177" s="286" t="s">
        <v>262</v>
      </c>
      <c r="B177" s="287" t="s">
        <v>424</v>
      </c>
      <c r="C177" s="287"/>
      <c r="D177" s="287"/>
      <c r="E177" s="287"/>
      <c r="F177" s="287"/>
      <c r="G177" s="287"/>
      <c r="H177" s="287"/>
      <c r="I177" s="297">
        <f>'Aba Carregamento'!C97</f>
        <v>0.05</v>
      </c>
      <c r="J177" s="264">
        <v>195.71</v>
      </c>
    </row>
    <row r="178" ht="51" customHeight="1" spans="1:10">
      <c r="A178" s="285" t="s">
        <v>425</v>
      </c>
      <c r="B178" s="285"/>
      <c r="C178" s="285"/>
      <c r="D178" s="285"/>
      <c r="E178" s="285"/>
      <c r="F178" s="285"/>
      <c r="G178" s="285"/>
      <c r="H178" s="285"/>
      <c r="I178" s="298" t="s">
        <v>363</v>
      </c>
      <c r="J178" s="296">
        <f>SUM(J68+J121+J131+J162+J170+J177)</f>
        <v>4109.86338329601</v>
      </c>
    </row>
    <row r="179" ht="15.75" spans="1:10">
      <c r="A179" s="286" t="s">
        <v>264</v>
      </c>
      <c r="B179" s="287" t="s">
        <v>80</v>
      </c>
      <c r="C179" s="287"/>
      <c r="D179" s="287"/>
      <c r="E179" s="287"/>
      <c r="F179" s="287"/>
      <c r="G179" s="287"/>
      <c r="H179" s="287"/>
      <c r="I179" s="297">
        <f>'Aba Carregamento'!C98</f>
        <v>0.061</v>
      </c>
      <c r="J179" s="264">
        <f>ROUND(I179*J178,2)</f>
        <v>250.7</v>
      </c>
    </row>
    <row r="180" ht="51" customHeight="1" spans="1:10">
      <c r="A180" s="285" t="s">
        <v>426</v>
      </c>
      <c r="B180" s="285"/>
      <c r="C180" s="285"/>
      <c r="D180" s="285"/>
      <c r="E180" s="285"/>
      <c r="F180" s="285"/>
      <c r="G180" s="285"/>
      <c r="H180" s="285"/>
      <c r="I180" s="298" t="s">
        <v>363</v>
      </c>
      <c r="J180" s="296">
        <f>SUM(J68+J121+J131+J162+J170+J177+J179)</f>
        <v>4360.56338329601</v>
      </c>
    </row>
    <row r="181" ht="15.75" spans="1:13">
      <c r="A181" s="286" t="s">
        <v>266</v>
      </c>
      <c r="B181" s="287" t="s">
        <v>427</v>
      </c>
      <c r="C181" s="287"/>
      <c r="D181" s="287"/>
      <c r="E181" s="287"/>
      <c r="F181" s="287"/>
      <c r="G181" s="287"/>
      <c r="H181" s="287"/>
      <c r="I181" s="299" t="s">
        <v>363</v>
      </c>
      <c r="J181" s="300" t="s">
        <v>363</v>
      </c>
      <c r="L181" s="301" t="s">
        <v>428</v>
      </c>
      <c r="M181" s="301"/>
    </row>
    <row r="182" spans="1:14">
      <c r="A182" s="244"/>
      <c r="B182" s="245" t="s">
        <v>429</v>
      </c>
      <c r="C182" s="245"/>
      <c r="D182" s="245"/>
      <c r="E182" s="245"/>
      <c r="F182" s="245"/>
      <c r="G182" s="245"/>
      <c r="H182" s="245"/>
      <c r="I182" s="299" t="s">
        <v>363</v>
      </c>
      <c r="J182" s="300" t="s">
        <v>363</v>
      </c>
      <c r="K182" s="302"/>
      <c r="L182" s="303" t="s">
        <v>430</v>
      </c>
      <c r="M182" s="303" t="s">
        <v>431</v>
      </c>
      <c r="N182" s="304"/>
    </row>
    <row r="183" spans="1:17">
      <c r="A183" s="244"/>
      <c r="B183" s="245" t="s">
        <v>432</v>
      </c>
      <c r="C183" s="245"/>
      <c r="D183" s="245"/>
      <c r="E183" s="245"/>
      <c r="F183" s="245"/>
      <c r="G183" s="245"/>
      <c r="H183" s="245"/>
      <c r="I183" s="305">
        <v>0.03</v>
      </c>
      <c r="J183" s="264">
        <f>ROUND(($J$180/(1-$I$192))*I183,2)</f>
        <v>139.39</v>
      </c>
      <c r="K183" s="302" t="s">
        <v>433</v>
      </c>
      <c r="L183" s="306">
        <v>0.03</v>
      </c>
      <c r="M183" s="306">
        <v>0.076</v>
      </c>
      <c r="N183" s="304">
        <f>IF('Aba Carregamento'!B66&lt;&gt;"",'Valor posto 40%'!L183,0)</f>
        <v>0</v>
      </c>
      <c r="O183" s="304">
        <f>IF('Aba Carregamento'!B67&lt;&gt;"",'Valor posto 40%'!M183,0)</f>
        <v>0.076</v>
      </c>
      <c r="P183" s="304">
        <f>N183+O183</f>
        <v>0.076</v>
      </c>
      <c r="Q183" s="304" t="s">
        <v>434</v>
      </c>
    </row>
    <row r="184" spans="1:17">
      <c r="A184" s="244"/>
      <c r="B184" s="245" t="s">
        <v>435</v>
      </c>
      <c r="C184" s="245"/>
      <c r="D184" s="245"/>
      <c r="E184" s="245"/>
      <c r="F184" s="245"/>
      <c r="G184" s="245"/>
      <c r="H184" s="245"/>
      <c r="I184" s="305">
        <v>0.0065</v>
      </c>
      <c r="J184" s="264">
        <f>ROUND(($J$180/(1-$I$192))*I184,2)</f>
        <v>30.2</v>
      </c>
      <c r="K184" s="302" t="s">
        <v>436</v>
      </c>
      <c r="L184" s="306">
        <v>0.0065</v>
      </c>
      <c r="M184" s="306">
        <v>0.0165</v>
      </c>
      <c r="N184" s="304">
        <f>IF('Aba Carregamento'!B66&lt;&gt;"",'Valor posto 40%'!L184,0)</f>
        <v>0</v>
      </c>
      <c r="O184" s="304">
        <f>IF('Aba Carregamento'!B67&lt;&gt;"",'Valor posto 40%'!M184,0)</f>
        <v>0.0165</v>
      </c>
      <c r="P184" s="304">
        <f>N184+O184</f>
        <v>0.0165</v>
      </c>
      <c r="Q184" s="304" t="s">
        <v>434</v>
      </c>
    </row>
    <row r="185" ht="27.6" customHeight="1" spans="1:17">
      <c r="A185" s="244"/>
      <c r="B185" s="250" t="s">
        <v>437</v>
      </c>
      <c r="C185" s="250"/>
      <c r="D185" s="250"/>
      <c r="E185" s="250"/>
      <c r="F185" s="250"/>
      <c r="G185" s="250"/>
      <c r="H185" s="250"/>
      <c r="I185" s="307" t="s">
        <v>363</v>
      </c>
      <c r="J185" s="300" t="s">
        <v>363</v>
      </c>
      <c r="K185" s="308"/>
      <c r="N185" s="304"/>
      <c r="O185" s="304"/>
      <c r="P185" s="304"/>
      <c r="Q185" s="304"/>
    </row>
    <row r="186" ht="27.6" customHeight="1" spans="1:10">
      <c r="A186" s="244"/>
      <c r="B186" s="250" t="s">
        <v>438</v>
      </c>
      <c r="C186" s="250"/>
      <c r="D186" s="250"/>
      <c r="E186" s="250"/>
      <c r="F186" s="250"/>
      <c r="G186" s="250"/>
      <c r="H186" s="250"/>
      <c r="I186" s="307" t="s">
        <v>363</v>
      </c>
      <c r="J186" s="300" t="s">
        <v>363</v>
      </c>
    </row>
    <row r="187" spans="1:10">
      <c r="A187" s="244"/>
      <c r="B187" s="245" t="s">
        <v>439</v>
      </c>
      <c r="C187" s="245"/>
      <c r="D187" s="245"/>
      <c r="E187" s="245"/>
      <c r="F187" s="245"/>
      <c r="G187" s="245"/>
      <c r="H187" s="245"/>
      <c r="I187" s="307" t="s">
        <v>363</v>
      </c>
      <c r="J187" s="300" t="s">
        <v>363</v>
      </c>
    </row>
    <row r="188" spans="1:10">
      <c r="A188" s="244"/>
      <c r="B188" s="245" t="s">
        <v>440</v>
      </c>
      <c r="C188" s="245"/>
      <c r="D188" s="245"/>
      <c r="E188" s="245"/>
      <c r="F188" s="245"/>
      <c r="G188" s="245"/>
      <c r="H188" s="245"/>
      <c r="I188" s="307" t="s">
        <v>363</v>
      </c>
      <c r="J188" s="300" t="s">
        <v>363</v>
      </c>
    </row>
    <row r="189" spans="1:10">
      <c r="A189" s="244"/>
      <c r="B189" s="245" t="s">
        <v>441</v>
      </c>
      <c r="C189" s="245"/>
      <c r="D189" s="245"/>
      <c r="E189" s="245"/>
      <c r="F189" s="245"/>
      <c r="G189" s="245"/>
      <c r="H189" s="245"/>
      <c r="I189" s="309">
        <f>'Aba Carregamento'!C99</f>
        <v>0.025</v>
      </c>
      <c r="J189" s="264">
        <f>ROUND(($J$180/(1-$I$192))*I189,2)</f>
        <v>116.16</v>
      </c>
    </row>
    <row r="190" spans="1:10">
      <c r="A190" s="248" t="s">
        <v>338</v>
      </c>
      <c r="B190" s="248"/>
      <c r="C190" s="248"/>
      <c r="D190" s="248"/>
      <c r="E190" s="248"/>
      <c r="F190" s="248"/>
      <c r="G190" s="248"/>
      <c r="H190" s="248"/>
      <c r="I190" s="248"/>
      <c r="J190" s="262">
        <f>SUM(J177+J179+J183+J184+J189)</f>
        <v>732.16</v>
      </c>
    </row>
    <row r="191" spans="1:10">
      <c r="A191" s="216"/>
      <c r="B191" s="216"/>
      <c r="C191" s="216"/>
      <c r="D191" s="216"/>
      <c r="E191" s="216"/>
      <c r="F191" s="216"/>
      <c r="G191" s="216"/>
      <c r="H191" s="216"/>
      <c r="I191" s="216"/>
      <c r="J191" s="216"/>
    </row>
    <row r="192" ht="14.65" customHeight="1" spans="1:10">
      <c r="A192" s="222" t="s">
        <v>442</v>
      </c>
      <c r="B192" s="222"/>
      <c r="C192" s="222"/>
      <c r="D192" s="222"/>
      <c r="E192" s="222"/>
      <c r="F192" s="222"/>
      <c r="G192" s="222"/>
      <c r="H192" s="222"/>
      <c r="I192" s="310">
        <f>SUM(I183:I189)</f>
        <v>0.0615</v>
      </c>
      <c r="J192" s="311">
        <f>SUM(J183:J189)</f>
        <v>285.75</v>
      </c>
    </row>
    <row r="193" spans="1:10">
      <c r="A193" s="312" t="s">
        <v>443</v>
      </c>
      <c r="B193" s="312"/>
      <c r="C193" s="312"/>
      <c r="D193" s="313" t="s">
        <v>444</v>
      </c>
      <c r="E193" s="313"/>
      <c r="F193" s="313"/>
      <c r="G193" s="313"/>
      <c r="H193" s="313"/>
      <c r="I193" s="313"/>
      <c r="J193" s="313"/>
    </row>
    <row r="194" spans="1:10">
      <c r="A194" s="312"/>
      <c r="B194" s="312"/>
      <c r="C194" s="312"/>
      <c r="D194" s="313" t="s">
        <v>445</v>
      </c>
      <c r="E194" s="313"/>
      <c r="F194" s="313"/>
      <c r="G194" s="313"/>
      <c r="H194" s="313"/>
      <c r="I194" s="313"/>
      <c r="J194" s="313"/>
    </row>
    <row r="195" spans="1:10">
      <c r="A195" s="312"/>
      <c r="B195" s="312"/>
      <c r="C195" s="312"/>
      <c r="D195" s="313" t="s">
        <v>446</v>
      </c>
      <c r="E195" s="313"/>
      <c r="F195" s="313"/>
      <c r="G195" s="313"/>
      <c r="H195" s="313"/>
      <c r="I195" s="313"/>
      <c r="J195" s="313"/>
    </row>
    <row r="196" spans="1:10">
      <c r="A196" s="216"/>
      <c r="B196" s="216"/>
      <c r="C196" s="216"/>
      <c r="D196" s="216"/>
      <c r="E196" s="216"/>
      <c r="F196" s="216"/>
      <c r="G196" s="216"/>
      <c r="H196" s="216"/>
      <c r="I196" s="216"/>
      <c r="J196" s="216"/>
    </row>
    <row r="197" ht="27.6" customHeight="1" spans="1:10">
      <c r="A197" s="211" t="s">
        <v>447</v>
      </c>
      <c r="B197" s="211"/>
      <c r="C197" s="211"/>
      <c r="D197" s="211"/>
      <c r="E197" s="211"/>
      <c r="F197" s="211"/>
      <c r="G197" s="211"/>
      <c r="H197" s="211"/>
      <c r="I197" s="211"/>
      <c r="J197" s="211"/>
    </row>
    <row r="198" spans="1:10">
      <c r="A198" s="216"/>
      <c r="B198" s="216"/>
      <c r="C198" s="216"/>
      <c r="D198" s="216"/>
      <c r="E198" s="216"/>
      <c r="F198" s="216"/>
      <c r="G198" s="216"/>
      <c r="H198" s="216"/>
      <c r="I198" s="216"/>
      <c r="J198" s="216"/>
    </row>
    <row r="199" ht="45.95" customHeight="1" spans="1:10">
      <c r="A199" s="314" t="s">
        <v>448</v>
      </c>
      <c r="B199" s="314"/>
      <c r="C199" s="314"/>
      <c r="D199" s="314"/>
      <c r="E199" s="314"/>
      <c r="F199" s="314"/>
      <c r="G199" s="314"/>
      <c r="H199" s="314"/>
      <c r="I199" s="314"/>
      <c r="J199" s="314"/>
    </row>
    <row r="200" ht="14.65" customHeight="1" spans="1:10">
      <c r="A200" s="315" t="s">
        <v>449</v>
      </c>
      <c r="B200" s="315"/>
      <c r="C200" s="315"/>
      <c r="D200" s="315"/>
      <c r="E200" s="315"/>
      <c r="F200" s="315"/>
      <c r="G200" s="315"/>
      <c r="H200" s="315"/>
      <c r="I200" s="315"/>
      <c r="J200" s="210" t="s">
        <v>335</v>
      </c>
    </row>
    <row r="201" ht="14.65" customHeight="1" spans="1:10">
      <c r="A201" s="316" t="s">
        <v>262</v>
      </c>
      <c r="B201" s="317" t="s">
        <v>450</v>
      </c>
      <c r="C201" s="317"/>
      <c r="D201" s="317"/>
      <c r="E201" s="317"/>
      <c r="F201" s="317"/>
      <c r="G201" s="317"/>
      <c r="H201" s="317"/>
      <c r="I201" s="317"/>
      <c r="J201" s="275">
        <f>J68</f>
        <v>1517.54</v>
      </c>
    </row>
    <row r="202" ht="14.65" customHeight="1" spans="1:10">
      <c r="A202" s="316" t="s">
        <v>264</v>
      </c>
      <c r="B202" s="317" t="s">
        <v>331</v>
      </c>
      <c r="C202" s="317"/>
      <c r="D202" s="317"/>
      <c r="E202" s="317"/>
      <c r="F202" s="317"/>
      <c r="G202" s="317"/>
      <c r="H202" s="317"/>
      <c r="I202" s="317"/>
      <c r="J202" s="275">
        <f>J121</f>
        <v>1221.09</v>
      </c>
    </row>
    <row r="203" ht="14.65" customHeight="1" spans="1:10">
      <c r="A203" s="316" t="s">
        <v>266</v>
      </c>
      <c r="B203" s="317" t="s">
        <v>451</v>
      </c>
      <c r="C203" s="317"/>
      <c r="D203" s="317"/>
      <c r="E203" s="317"/>
      <c r="F203" s="317"/>
      <c r="G203" s="317"/>
      <c r="H203" s="317"/>
      <c r="I203" s="317"/>
      <c r="J203" s="275">
        <f>J131</f>
        <v>81.2</v>
      </c>
    </row>
    <row r="204" ht="14.65" customHeight="1" spans="1:10">
      <c r="A204" s="316" t="s">
        <v>268</v>
      </c>
      <c r="B204" s="317" t="s">
        <v>452</v>
      </c>
      <c r="C204" s="317"/>
      <c r="D204" s="317"/>
      <c r="E204" s="317"/>
      <c r="F204" s="317"/>
      <c r="G204" s="317"/>
      <c r="H204" s="317"/>
      <c r="I204" s="317"/>
      <c r="J204" s="275">
        <f>J162</f>
        <v>57.69</v>
      </c>
    </row>
    <row r="205" ht="14.65" customHeight="1" spans="1:10">
      <c r="A205" s="316" t="s">
        <v>323</v>
      </c>
      <c r="B205" s="317" t="s">
        <v>453</v>
      </c>
      <c r="C205" s="317"/>
      <c r="D205" s="317"/>
      <c r="E205" s="317"/>
      <c r="F205" s="317"/>
      <c r="G205" s="317"/>
      <c r="H205" s="317"/>
      <c r="I205" s="317"/>
      <c r="J205" s="275">
        <f>J170</f>
        <v>1036.63338329601</v>
      </c>
    </row>
    <row r="206" ht="14.65" customHeight="1" spans="1:10">
      <c r="A206" s="318" t="s">
        <v>454</v>
      </c>
      <c r="B206" s="318"/>
      <c r="C206" s="318"/>
      <c r="D206" s="318"/>
      <c r="E206" s="318"/>
      <c r="F206" s="318"/>
      <c r="G206" s="318"/>
      <c r="H206" s="318"/>
      <c r="I206" s="318"/>
      <c r="J206" s="293">
        <f>SUM(J201:J205)</f>
        <v>3914.15338329601</v>
      </c>
    </row>
    <row r="207" ht="14.65" customHeight="1" spans="1:10">
      <c r="A207" s="316" t="s">
        <v>325</v>
      </c>
      <c r="B207" s="317" t="s">
        <v>455</v>
      </c>
      <c r="C207" s="317"/>
      <c r="D207" s="317"/>
      <c r="E207" s="317"/>
      <c r="F207" s="317"/>
      <c r="G207" s="317"/>
      <c r="H207" s="317"/>
      <c r="I207" s="317"/>
      <c r="J207" s="275">
        <f>J190</f>
        <v>732.16</v>
      </c>
    </row>
    <row r="208" ht="14.65" customHeight="1" spans="1:10">
      <c r="A208" s="318" t="s">
        <v>456</v>
      </c>
      <c r="B208" s="318"/>
      <c r="C208" s="318"/>
      <c r="D208" s="318"/>
      <c r="E208" s="318"/>
      <c r="F208" s="318"/>
      <c r="G208" s="318"/>
      <c r="H208" s="318"/>
      <c r="I208" s="318"/>
      <c r="J208" s="293">
        <f>SUM(J206:J207)</f>
        <v>4646.31338329601</v>
      </c>
    </row>
    <row r="209" ht="17.1" customHeight="1" spans="1:10">
      <c r="A209" s="319" t="s">
        <v>457</v>
      </c>
      <c r="B209" s="319"/>
      <c r="C209" s="319"/>
      <c r="D209" s="319"/>
      <c r="E209" s="319"/>
      <c r="F209" s="319"/>
      <c r="G209" s="319"/>
      <c r="H209" s="319"/>
      <c r="I209" s="319"/>
      <c r="J209" s="319"/>
    </row>
    <row r="210" ht="14.65" customHeight="1" spans="1:10">
      <c r="A210" s="203" t="s">
        <v>458</v>
      </c>
      <c r="B210" s="203"/>
      <c r="C210" s="203"/>
      <c r="D210" s="203"/>
      <c r="E210" s="203"/>
      <c r="F210" s="203"/>
      <c r="G210" s="203"/>
      <c r="H210" s="203"/>
      <c r="I210" s="203"/>
      <c r="J210" s="203"/>
    </row>
    <row r="211" ht="31.5" customHeight="1" spans="1:10">
      <c r="A211" s="203" t="s">
        <v>459</v>
      </c>
      <c r="B211" s="203"/>
      <c r="C211" s="203"/>
      <c r="D211" s="203"/>
      <c r="E211" s="203"/>
      <c r="F211" s="203"/>
      <c r="G211" s="203"/>
      <c r="H211" s="203"/>
      <c r="I211" s="203"/>
      <c r="J211" s="203"/>
    </row>
    <row r="212" ht="39" customHeight="1" spans="1:10">
      <c r="A212" s="320" t="s">
        <v>460</v>
      </c>
      <c r="B212" s="320"/>
      <c r="C212" s="320"/>
      <c r="D212" s="320" t="s">
        <v>461</v>
      </c>
      <c r="E212" s="320"/>
      <c r="F212" s="320"/>
      <c r="G212" s="210" t="s">
        <v>462</v>
      </c>
      <c r="H212" s="210"/>
      <c r="I212" s="210" t="s">
        <v>463</v>
      </c>
      <c r="J212" s="210"/>
    </row>
    <row r="213" ht="14.65" customHeight="1" spans="1:10">
      <c r="A213" s="211" t="s">
        <v>464</v>
      </c>
      <c r="B213" s="211"/>
      <c r="C213" s="211"/>
      <c r="D213" s="321">
        <v>1</v>
      </c>
      <c r="E213" s="322">
        <v>30</v>
      </c>
      <c r="F213" s="322">
        <f>E214</f>
        <v>0</v>
      </c>
      <c r="G213" s="323">
        <v>0</v>
      </c>
      <c r="H213" s="323"/>
      <c r="I213" s="338">
        <v>0</v>
      </c>
      <c r="J213" s="338"/>
    </row>
    <row r="214" ht="14.65" customHeight="1" spans="1:10">
      <c r="A214" s="211" t="s">
        <v>465</v>
      </c>
      <c r="B214" s="211"/>
      <c r="C214" s="211"/>
      <c r="D214" s="321">
        <v>1</v>
      </c>
      <c r="E214" s="324">
        <f>'Qtd postos 40%'!C3</f>
        <v>0</v>
      </c>
      <c r="F214" s="324"/>
      <c r="G214" s="325">
        <f>J208</f>
        <v>4646.31338329601</v>
      </c>
      <c r="H214" s="325"/>
      <c r="I214" s="338">
        <v>0</v>
      </c>
      <c r="J214" s="338"/>
    </row>
    <row r="215" ht="14.65" customHeight="1" spans="1:10">
      <c r="A215" s="251" t="s">
        <v>466</v>
      </c>
      <c r="B215" s="251"/>
      <c r="C215" s="251"/>
      <c r="D215" s="251"/>
      <c r="E215" s="251"/>
      <c r="F215" s="251"/>
      <c r="G215" s="251"/>
      <c r="H215" s="251"/>
      <c r="I215" s="338">
        <f>SUM(I213+I214)</f>
        <v>0</v>
      </c>
      <c r="J215" s="338"/>
    </row>
    <row r="216" ht="14.65" customHeight="1" spans="1:10">
      <c r="A216" s="326"/>
      <c r="B216" s="326"/>
      <c r="C216" s="326"/>
      <c r="D216" s="326"/>
      <c r="E216" s="326"/>
      <c r="F216" s="326"/>
      <c r="G216" s="326"/>
      <c r="H216" s="326"/>
      <c r="I216" s="326"/>
      <c r="J216" s="326"/>
    </row>
    <row r="217" ht="14.65" customHeight="1" spans="1:10">
      <c r="A217" s="211" t="s">
        <v>467</v>
      </c>
      <c r="B217" s="211"/>
      <c r="C217" s="211"/>
      <c r="D217" s="327">
        <v>1</v>
      </c>
      <c r="E217" s="322">
        <v>30</v>
      </c>
      <c r="F217" s="322">
        <f>E218</f>
        <v>0</v>
      </c>
      <c r="G217" s="323">
        <v>0</v>
      </c>
      <c r="H217" s="323"/>
      <c r="I217" s="338">
        <f>ROUND((D217/E217*F217)*G217,2)</f>
        <v>0</v>
      </c>
      <c r="J217" s="338"/>
    </row>
    <row r="218" ht="14.65" customHeight="1" spans="1:10">
      <c r="A218" s="211" t="s">
        <v>468</v>
      </c>
      <c r="B218" s="211"/>
      <c r="C218" s="211"/>
      <c r="D218" s="327">
        <v>1</v>
      </c>
      <c r="E218" s="324">
        <f>'Qtd postos 40%'!C4</f>
        <v>0</v>
      </c>
      <c r="F218" s="324"/>
      <c r="G218" s="323">
        <f>J208</f>
        <v>4646.31338329601</v>
      </c>
      <c r="H218" s="323"/>
      <c r="I218" s="338">
        <v>0</v>
      </c>
      <c r="J218" s="338"/>
    </row>
    <row r="219" ht="14.65" customHeight="1" spans="1:10">
      <c r="A219" s="251" t="s">
        <v>466</v>
      </c>
      <c r="B219" s="251"/>
      <c r="C219" s="251"/>
      <c r="D219" s="251"/>
      <c r="E219" s="251"/>
      <c r="F219" s="251"/>
      <c r="G219" s="251"/>
      <c r="H219" s="251"/>
      <c r="I219" s="338">
        <f>SUM(I217+I218)</f>
        <v>0</v>
      </c>
      <c r="J219" s="338"/>
    </row>
    <row r="220" ht="14.65" customHeight="1" spans="1:10">
      <c r="A220" s="326"/>
      <c r="B220" s="326"/>
      <c r="C220" s="326"/>
      <c r="D220" s="326"/>
      <c r="E220" s="326"/>
      <c r="F220" s="326"/>
      <c r="G220" s="326"/>
      <c r="H220" s="326"/>
      <c r="I220" s="326"/>
      <c r="J220" s="326"/>
    </row>
    <row r="221" ht="14.65" customHeight="1" spans="1:10">
      <c r="A221" s="211" t="s">
        <v>469</v>
      </c>
      <c r="B221" s="211"/>
      <c r="C221" s="211"/>
      <c r="D221" s="321">
        <v>1</v>
      </c>
      <c r="E221" s="322">
        <v>30</v>
      </c>
      <c r="F221" s="322">
        <f>E222</f>
        <v>0</v>
      </c>
      <c r="G221" s="328">
        <v>0</v>
      </c>
      <c r="H221" s="328"/>
      <c r="I221" s="338">
        <f>ROUND((D221/E221*F221)*G221,2)</f>
        <v>0</v>
      </c>
      <c r="J221" s="338"/>
    </row>
    <row r="222" ht="14.65" customHeight="1" spans="1:10">
      <c r="A222" s="211" t="s">
        <v>470</v>
      </c>
      <c r="B222" s="211"/>
      <c r="C222" s="211"/>
      <c r="D222" s="321">
        <v>1</v>
      </c>
      <c r="E222" s="324">
        <f>'Qtd postos 40%'!C5</f>
        <v>0</v>
      </c>
      <c r="F222" s="324"/>
      <c r="G222" s="329">
        <f>J208</f>
        <v>4646.31338329601</v>
      </c>
      <c r="H222" s="329"/>
      <c r="I222" s="338">
        <v>0</v>
      </c>
      <c r="J222" s="338"/>
    </row>
    <row r="223" ht="14.65" customHeight="1" spans="1:10">
      <c r="A223" s="251" t="s">
        <v>466</v>
      </c>
      <c r="B223" s="251"/>
      <c r="C223" s="251"/>
      <c r="D223" s="251"/>
      <c r="E223" s="251"/>
      <c r="F223" s="251"/>
      <c r="G223" s="251"/>
      <c r="H223" s="251"/>
      <c r="I223" s="338">
        <f>SUM(I221+I222)</f>
        <v>0</v>
      </c>
      <c r="J223" s="338"/>
    </row>
    <row r="224" ht="14.65" customHeight="1" spans="1:10">
      <c r="A224" s="326"/>
      <c r="B224" s="326"/>
      <c r="C224" s="326"/>
      <c r="D224" s="326"/>
      <c r="E224" s="326"/>
      <c r="F224" s="326"/>
      <c r="G224" s="326"/>
      <c r="H224" s="326"/>
      <c r="I224" s="326"/>
      <c r="J224" s="326"/>
    </row>
    <row r="225" ht="14.65" customHeight="1" spans="1:10">
      <c r="A225" s="330" t="s">
        <v>471</v>
      </c>
      <c r="B225" s="330"/>
      <c r="C225" s="330"/>
      <c r="D225" s="322">
        <v>1</v>
      </c>
      <c r="E225" s="322">
        <v>30</v>
      </c>
      <c r="F225" s="322">
        <f>E226</f>
        <v>0</v>
      </c>
      <c r="G225" s="323">
        <v>0</v>
      </c>
      <c r="H225" s="323"/>
      <c r="I225" s="338">
        <v>0</v>
      </c>
      <c r="J225" s="338"/>
    </row>
    <row r="226" ht="14.65" customHeight="1" spans="1:10">
      <c r="A226" s="330" t="s">
        <v>472</v>
      </c>
      <c r="B226" s="330"/>
      <c r="C226" s="330"/>
      <c r="D226" s="331">
        <v>1</v>
      </c>
      <c r="E226" s="324">
        <f>'Qtd postos 40%'!C6</f>
        <v>0</v>
      </c>
      <c r="F226" s="324"/>
      <c r="G226" s="325">
        <f>J208</f>
        <v>4646.31338329601</v>
      </c>
      <c r="H226" s="325"/>
      <c r="I226" s="338">
        <v>0</v>
      </c>
      <c r="J226" s="338"/>
    </row>
    <row r="227" ht="14.65" customHeight="1" spans="1:10">
      <c r="A227" s="251" t="s">
        <v>466</v>
      </c>
      <c r="B227" s="251"/>
      <c r="C227" s="251"/>
      <c r="D227" s="251"/>
      <c r="E227" s="251"/>
      <c r="F227" s="251"/>
      <c r="G227" s="251"/>
      <c r="H227" s="251"/>
      <c r="I227" s="338">
        <f>SUM(I225+I226)</f>
        <v>0</v>
      </c>
      <c r="J227" s="338"/>
    </row>
    <row r="228" ht="14.65" customHeight="1" spans="1:10">
      <c r="A228" s="326"/>
      <c r="B228" s="326"/>
      <c r="C228" s="326"/>
      <c r="D228" s="326"/>
      <c r="E228" s="326"/>
      <c r="F228" s="326"/>
      <c r="G228" s="326"/>
      <c r="H228" s="326"/>
      <c r="I228" s="326"/>
      <c r="J228" s="326"/>
    </row>
    <row r="229" ht="14.65" customHeight="1" spans="1:10">
      <c r="A229" s="211" t="s">
        <v>473</v>
      </c>
      <c r="B229" s="211"/>
      <c r="C229" s="211"/>
      <c r="D229" s="321">
        <v>1</v>
      </c>
      <c r="E229" s="322">
        <v>30</v>
      </c>
      <c r="F229" s="322">
        <f>E230</f>
        <v>0</v>
      </c>
      <c r="G229" s="328">
        <v>0</v>
      </c>
      <c r="H229" s="328"/>
      <c r="I229" s="338">
        <v>0</v>
      </c>
      <c r="J229" s="338"/>
    </row>
    <row r="230" ht="14.65" customHeight="1" spans="1:10">
      <c r="A230" s="211" t="s">
        <v>474</v>
      </c>
      <c r="B230" s="211"/>
      <c r="C230" s="211"/>
      <c r="D230" s="321">
        <v>1</v>
      </c>
      <c r="E230" s="324">
        <f>'Qtd postos 40%'!C7</f>
        <v>0</v>
      </c>
      <c r="F230" s="324"/>
      <c r="G230" s="329">
        <f>J208</f>
        <v>4646.31338329601</v>
      </c>
      <c r="H230" s="329"/>
      <c r="I230" s="338">
        <v>0</v>
      </c>
      <c r="J230" s="338"/>
    </row>
    <row r="231" ht="14.65" customHeight="1" spans="1:10">
      <c r="A231" s="251" t="s">
        <v>466</v>
      </c>
      <c r="B231" s="251"/>
      <c r="C231" s="251"/>
      <c r="D231" s="251"/>
      <c r="E231" s="251"/>
      <c r="F231" s="251"/>
      <c r="G231" s="251"/>
      <c r="H231" s="251"/>
      <c r="I231" s="338"/>
      <c r="J231" s="338"/>
    </row>
    <row r="232" ht="14.65" customHeight="1" spans="1:10">
      <c r="A232" s="326"/>
      <c r="B232" s="326"/>
      <c r="C232" s="326"/>
      <c r="D232" s="326"/>
      <c r="E232" s="326"/>
      <c r="F232" s="326"/>
      <c r="G232" s="326"/>
      <c r="H232" s="326"/>
      <c r="I232" s="326"/>
      <c r="J232" s="326"/>
    </row>
    <row r="233" ht="27.6" customHeight="1" spans="1:10">
      <c r="A233" s="211" t="s">
        <v>475</v>
      </c>
      <c r="B233" s="211"/>
      <c r="C233" s="211"/>
      <c r="D233" s="322">
        <v>1</v>
      </c>
      <c r="E233" s="322">
        <v>30</v>
      </c>
      <c r="F233" s="322">
        <f>E234</f>
        <v>0</v>
      </c>
      <c r="G233" s="328">
        <v>0</v>
      </c>
      <c r="H233" s="328"/>
      <c r="I233" s="338">
        <f>ROUND((D233/E233*F233)*G233,2)</f>
        <v>0</v>
      </c>
      <c r="J233" s="338"/>
    </row>
    <row r="234" ht="27.6" customHeight="1" spans="1:10">
      <c r="A234" s="211" t="s">
        <v>476</v>
      </c>
      <c r="B234" s="211"/>
      <c r="C234" s="211"/>
      <c r="D234" s="322">
        <v>1</v>
      </c>
      <c r="E234" s="324">
        <f>'Qtd postos 40%'!C8</f>
        <v>0</v>
      </c>
      <c r="F234" s="324"/>
      <c r="G234" s="325">
        <f>J208</f>
        <v>4646.31338329601</v>
      </c>
      <c r="H234" s="325"/>
      <c r="I234" s="338">
        <v>0</v>
      </c>
      <c r="J234" s="338"/>
    </row>
    <row r="235" ht="14.65" customHeight="1" spans="1:10">
      <c r="A235" s="238" t="s">
        <v>466</v>
      </c>
      <c r="B235" s="238"/>
      <c r="C235" s="238"/>
      <c r="D235" s="238"/>
      <c r="E235" s="238"/>
      <c r="F235" s="238"/>
      <c r="G235" s="238"/>
      <c r="H235" s="238"/>
      <c r="I235" s="339">
        <v>0</v>
      </c>
      <c r="J235" s="339"/>
    </row>
    <row r="236" ht="14.65" customHeight="1" spans="1:10">
      <c r="A236" s="326"/>
      <c r="B236" s="326"/>
      <c r="C236" s="326"/>
      <c r="D236" s="326"/>
      <c r="E236" s="326"/>
      <c r="F236" s="326"/>
      <c r="G236" s="326"/>
      <c r="H236" s="326"/>
      <c r="I236" s="326"/>
      <c r="J236" s="326"/>
    </row>
    <row r="237" ht="14.65" customHeight="1" spans="1:10">
      <c r="A237" s="250" t="s">
        <v>477</v>
      </c>
      <c r="B237" s="250"/>
      <c r="C237" s="250"/>
      <c r="D237" s="332">
        <v>1</v>
      </c>
      <c r="E237" s="332">
        <v>30</v>
      </c>
      <c r="F237" s="332">
        <f>E238</f>
        <v>180</v>
      </c>
      <c r="G237" s="333">
        <v>0</v>
      </c>
      <c r="H237" s="333"/>
      <c r="I237" s="338">
        <f>ROUND((D237/E237*F237)*G237,2)</f>
        <v>0</v>
      </c>
      <c r="J237" s="338"/>
    </row>
    <row r="238" ht="14.65" customHeight="1" spans="1:10">
      <c r="A238" s="250" t="s">
        <v>478</v>
      </c>
      <c r="B238" s="250"/>
      <c r="C238" s="250"/>
      <c r="D238" s="332">
        <v>1</v>
      </c>
      <c r="E238" s="334">
        <f>'Qtd postos 40%'!C9</f>
        <v>180</v>
      </c>
      <c r="F238" s="334"/>
      <c r="G238" s="333">
        <f>J208</f>
        <v>4646.31338329601</v>
      </c>
      <c r="H238" s="333"/>
      <c r="I238" s="338">
        <f>ROUND((D238/E238)*G238,2)</f>
        <v>25.81</v>
      </c>
      <c r="J238" s="338"/>
    </row>
    <row r="239" ht="14.65" customHeight="1" spans="1:10">
      <c r="A239" s="222" t="s">
        <v>466</v>
      </c>
      <c r="B239" s="222"/>
      <c r="C239" s="222"/>
      <c r="D239" s="222"/>
      <c r="E239" s="222"/>
      <c r="F239" s="222"/>
      <c r="G239" s="222"/>
      <c r="H239" s="222"/>
      <c r="I239" s="338">
        <f>SUM(I237+I238)</f>
        <v>25.81</v>
      </c>
      <c r="J239" s="338"/>
    </row>
    <row r="240" ht="14.65" customHeight="1" spans="1:10">
      <c r="A240" s="326"/>
      <c r="B240" s="326"/>
      <c r="C240" s="326"/>
      <c r="D240" s="326"/>
      <c r="E240" s="326"/>
      <c r="F240" s="326"/>
      <c r="G240" s="326"/>
      <c r="H240" s="326"/>
      <c r="I240" s="326"/>
      <c r="J240" s="326"/>
    </row>
    <row r="241" ht="14.65" customHeight="1" spans="1:10">
      <c r="A241" s="223" t="s">
        <v>479</v>
      </c>
      <c r="B241" s="223"/>
      <c r="C241" s="223"/>
      <c r="D241" s="223"/>
      <c r="E241" s="223"/>
      <c r="F241" s="223"/>
      <c r="G241" s="223"/>
      <c r="H241" s="223"/>
      <c r="I241" s="223"/>
      <c r="J241" s="223"/>
    </row>
    <row r="242" ht="14.65" customHeight="1" spans="1:10">
      <c r="A242" s="335"/>
      <c r="B242" s="335"/>
      <c r="C242" s="335"/>
      <c r="D242" s="335"/>
      <c r="E242" s="335"/>
      <c r="F242" s="335"/>
      <c r="G242" s="335"/>
      <c r="H242" s="335"/>
      <c r="I242" s="335"/>
      <c r="J242" s="335"/>
    </row>
    <row r="243" ht="43.7" customHeight="1" spans="1:10">
      <c r="A243" s="203" t="s">
        <v>480</v>
      </c>
      <c r="B243" s="203"/>
      <c r="C243" s="203"/>
      <c r="D243" s="203"/>
      <c r="E243" s="203"/>
      <c r="F243" s="203"/>
      <c r="G243" s="203"/>
      <c r="H243" s="203"/>
      <c r="I243" s="203"/>
      <c r="J243" s="203"/>
    </row>
    <row r="244" ht="39" customHeight="1" spans="1:10">
      <c r="A244" s="320" t="s">
        <v>481</v>
      </c>
      <c r="B244" s="320"/>
      <c r="C244" s="320"/>
      <c r="D244" s="320" t="s">
        <v>482</v>
      </c>
      <c r="E244" s="320"/>
      <c r="F244" s="320"/>
      <c r="G244" s="210" t="s">
        <v>483</v>
      </c>
      <c r="H244" s="210"/>
      <c r="I244" s="210" t="s">
        <v>463</v>
      </c>
      <c r="J244" s="210"/>
    </row>
    <row r="245" ht="39" customHeight="1" spans="1:10">
      <c r="A245" s="211" t="s">
        <v>484</v>
      </c>
      <c r="B245" s="211"/>
      <c r="C245" s="211"/>
      <c r="D245" s="336">
        <v>1</v>
      </c>
      <c r="E245" s="337" t="s">
        <v>485</v>
      </c>
      <c r="F245" s="337">
        <f>E246</f>
        <v>0</v>
      </c>
      <c r="G245" s="323">
        <v>0</v>
      </c>
      <c r="H245" s="323"/>
      <c r="I245" s="311">
        <v>0</v>
      </c>
      <c r="J245" s="311"/>
    </row>
    <row r="246" ht="39" customHeight="1" spans="1:10">
      <c r="A246" s="211" t="s">
        <v>486</v>
      </c>
      <c r="B246" s="211"/>
      <c r="C246" s="211"/>
      <c r="D246" s="336">
        <v>1</v>
      </c>
      <c r="E246" s="324">
        <f>'Qtd postos 40%'!C10</f>
        <v>0</v>
      </c>
      <c r="F246" s="324"/>
      <c r="G246" s="323">
        <f>J208</f>
        <v>4646.31338329601</v>
      </c>
      <c r="H246" s="323"/>
      <c r="I246" s="311">
        <v>0</v>
      </c>
      <c r="J246" s="311"/>
    </row>
    <row r="247" ht="14.65" customHeight="1" spans="1:10">
      <c r="A247" s="251" t="s">
        <v>466</v>
      </c>
      <c r="B247" s="251"/>
      <c r="C247" s="251"/>
      <c r="D247" s="251"/>
      <c r="E247" s="251"/>
      <c r="F247" s="251"/>
      <c r="G247" s="251"/>
      <c r="H247" s="251"/>
      <c r="I247" s="311">
        <f>SUM(I245+I246)</f>
        <v>0</v>
      </c>
      <c r="J247" s="311"/>
    </row>
    <row r="248" ht="14.65" customHeight="1" spans="1:10">
      <c r="A248" s="335"/>
      <c r="B248" s="335"/>
      <c r="C248" s="335"/>
      <c r="D248" s="335"/>
      <c r="E248" s="335"/>
      <c r="F248" s="335"/>
      <c r="G248" s="335"/>
      <c r="H248" s="335"/>
      <c r="I248" s="335"/>
      <c r="J248" s="335"/>
    </row>
    <row r="249" ht="27.6" customHeight="1" spans="1:10">
      <c r="A249" s="211" t="s">
        <v>487</v>
      </c>
      <c r="B249" s="211"/>
      <c r="C249" s="211"/>
      <c r="D249" s="336">
        <v>1</v>
      </c>
      <c r="E249" s="337" t="s">
        <v>485</v>
      </c>
      <c r="F249" s="337">
        <f>E250</f>
        <v>0</v>
      </c>
      <c r="G249" s="323">
        <v>0</v>
      </c>
      <c r="H249" s="323"/>
      <c r="I249" s="311">
        <v>0</v>
      </c>
      <c r="J249" s="311"/>
    </row>
    <row r="250" ht="27.6" customHeight="1" spans="1:10">
      <c r="A250" s="211" t="s">
        <v>488</v>
      </c>
      <c r="B250" s="211"/>
      <c r="C250" s="211"/>
      <c r="D250" s="336">
        <v>1</v>
      </c>
      <c r="E250" s="324">
        <f>'Qtd postos 40%'!C11</f>
        <v>0</v>
      </c>
      <c r="F250" s="324"/>
      <c r="G250" s="323">
        <f>J208</f>
        <v>4646.31338329601</v>
      </c>
      <c r="H250" s="323"/>
      <c r="I250" s="311">
        <v>0</v>
      </c>
      <c r="J250" s="311"/>
    </row>
    <row r="251" ht="14.65" customHeight="1" spans="1:10">
      <c r="A251" s="251" t="s">
        <v>466</v>
      </c>
      <c r="B251" s="251"/>
      <c r="C251" s="251"/>
      <c r="D251" s="251"/>
      <c r="E251" s="251"/>
      <c r="F251" s="251"/>
      <c r="G251" s="251"/>
      <c r="H251" s="251"/>
      <c r="I251" s="311">
        <f>SUM(I249+I250)</f>
        <v>0</v>
      </c>
      <c r="J251" s="311"/>
    </row>
    <row r="252" ht="14.65" customHeight="1" spans="1:10">
      <c r="A252" s="335"/>
      <c r="B252" s="335"/>
      <c r="C252" s="335"/>
      <c r="D252" s="335"/>
      <c r="E252" s="335"/>
      <c r="F252" s="335"/>
      <c r="G252" s="335"/>
      <c r="H252" s="335"/>
      <c r="I252" s="335"/>
      <c r="J252" s="335"/>
    </row>
    <row r="253" ht="27.6" customHeight="1" spans="1:10">
      <c r="A253" s="211" t="s">
        <v>489</v>
      </c>
      <c r="B253" s="211"/>
      <c r="C253" s="211"/>
      <c r="D253" s="336">
        <v>1</v>
      </c>
      <c r="E253" s="337" t="s">
        <v>485</v>
      </c>
      <c r="F253" s="337">
        <f>E254</f>
        <v>0</v>
      </c>
      <c r="G253" s="323">
        <v>0</v>
      </c>
      <c r="H253" s="323"/>
      <c r="I253" s="311">
        <f>ROUND((D253/E253*F253)*G253,2)</f>
        <v>0</v>
      </c>
      <c r="J253" s="311"/>
    </row>
    <row r="254" ht="27.6" customHeight="1" spans="1:10">
      <c r="A254" s="211" t="s">
        <v>490</v>
      </c>
      <c r="B254" s="211"/>
      <c r="C254" s="211"/>
      <c r="D254" s="336">
        <v>1</v>
      </c>
      <c r="E254" s="324">
        <f>'Qtd postos 40%'!C12</f>
        <v>0</v>
      </c>
      <c r="F254" s="324"/>
      <c r="G254" s="323">
        <f>J208</f>
        <v>4646.31338329601</v>
      </c>
      <c r="H254" s="323"/>
      <c r="I254" s="311">
        <v>0</v>
      </c>
      <c r="J254" s="311"/>
    </row>
    <row r="255" ht="14.65" customHeight="1" spans="1:10">
      <c r="A255" s="251" t="s">
        <v>466</v>
      </c>
      <c r="B255" s="251"/>
      <c r="C255" s="251"/>
      <c r="D255" s="251"/>
      <c r="E255" s="251"/>
      <c r="F255" s="251"/>
      <c r="G255" s="251"/>
      <c r="H255" s="251"/>
      <c r="I255" s="311">
        <f>SUM(I253+I254)</f>
        <v>0</v>
      </c>
      <c r="J255" s="311"/>
    </row>
    <row r="256" ht="14.65" customHeight="1" spans="1:10">
      <c r="A256" s="335"/>
      <c r="B256" s="335"/>
      <c r="C256" s="335"/>
      <c r="D256" s="335"/>
      <c r="E256" s="335"/>
      <c r="F256" s="335"/>
      <c r="G256" s="335"/>
      <c r="H256" s="335"/>
      <c r="I256" s="335"/>
      <c r="J256" s="335"/>
    </row>
    <row r="257" ht="27.6" customHeight="1" spans="1:10">
      <c r="A257" s="211" t="s">
        <v>491</v>
      </c>
      <c r="B257" s="211"/>
      <c r="C257" s="211"/>
      <c r="D257" s="336">
        <v>1</v>
      </c>
      <c r="E257" s="337" t="s">
        <v>485</v>
      </c>
      <c r="F257" s="337">
        <f>E258</f>
        <v>0</v>
      </c>
      <c r="G257" s="323">
        <v>0</v>
      </c>
      <c r="H257" s="323"/>
      <c r="I257" s="373">
        <f>ROUND((D257/E257*F257)*G257,2)</f>
        <v>0</v>
      </c>
      <c r="J257" s="373"/>
    </row>
    <row r="258" ht="27.6" customHeight="1" spans="1:10">
      <c r="A258" s="211" t="s">
        <v>492</v>
      </c>
      <c r="B258" s="211"/>
      <c r="C258" s="211"/>
      <c r="D258" s="336">
        <v>1</v>
      </c>
      <c r="E258" s="324">
        <f>'Qtd postos 40%'!C13</f>
        <v>0</v>
      </c>
      <c r="F258" s="324"/>
      <c r="G258" s="323">
        <f>J208</f>
        <v>4646.31338329601</v>
      </c>
      <c r="H258" s="323"/>
      <c r="I258" s="373">
        <v>0</v>
      </c>
      <c r="J258" s="373"/>
    </row>
    <row r="259" ht="14.65" customHeight="1" spans="1:10">
      <c r="A259" s="251" t="s">
        <v>466</v>
      </c>
      <c r="B259" s="251"/>
      <c r="C259" s="251"/>
      <c r="D259" s="251"/>
      <c r="E259" s="251"/>
      <c r="F259" s="251"/>
      <c r="G259" s="251"/>
      <c r="H259" s="251"/>
      <c r="I259" s="373">
        <f>SUM(I257+I258)</f>
        <v>0</v>
      </c>
      <c r="J259" s="373"/>
    </row>
    <row r="260" ht="14.65" customHeight="1" spans="1:10">
      <c r="A260" s="335"/>
      <c r="B260" s="335"/>
      <c r="C260" s="335"/>
      <c r="D260" s="335"/>
      <c r="E260" s="335"/>
      <c r="F260" s="335"/>
      <c r="G260" s="335"/>
      <c r="H260" s="335"/>
      <c r="I260" s="335"/>
      <c r="J260" s="335"/>
    </row>
    <row r="261" ht="27.6" customHeight="1" spans="1:10">
      <c r="A261" s="211" t="s">
        <v>493</v>
      </c>
      <c r="B261" s="211"/>
      <c r="C261" s="211"/>
      <c r="D261" s="336" t="s">
        <v>494</v>
      </c>
      <c r="E261" s="337" t="s">
        <v>485</v>
      </c>
      <c r="F261" s="337">
        <f>E262</f>
        <v>0</v>
      </c>
      <c r="G261" s="323">
        <v>0</v>
      </c>
      <c r="H261" s="323"/>
      <c r="I261" s="311">
        <v>0</v>
      </c>
      <c r="J261" s="311"/>
    </row>
    <row r="262" ht="27.6" customHeight="1" spans="1:10">
      <c r="A262" s="211" t="s">
        <v>495</v>
      </c>
      <c r="B262" s="211"/>
      <c r="C262" s="211"/>
      <c r="D262" s="336">
        <v>1</v>
      </c>
      <c r="E262" s="324">
        <f>'Qtd postos 40%'!C14</f>
        <v>0</v>
      </c>
      <c r="F262" s="324"/>
      <c r="G262" s="312">
        <f>J208</f>
        <v>4646.31338329601</v>
      </c>
      <c r="H262" s="312"/>
      <c r="I262" s="311">
        <v>0</v>
      </c>
      <c r="J262" s="311"/>
    </row>
    <row r="263" ht="14.65" customHeight="1" spans="1:10">
      <c r="A263" s="238" t="s">
        <v>466</v>
      </c>
      <c r="B263" s="238"/>
      <c r="C263" s="238"/>
      <c r="D263" s="238"/>
      <c r="E263" s="238"/>
      <c r="F263" s="238"/>
      <c r="G263" s="238"/>
      <c r="H263" s="238"/>
      <c r="I263" s="339">
        <f>SUM(I261+I262)</f>
        <v>0</v>
      </c>
      <c r="J263" s="339"/>
    </row>
    <row r="264" ht="14.65" customHeight="1" spans="1:10">
      <c r="A264" s="335"/>
      <c r="B264" s="335"/>
      <c r="C264" s="335"/>
      <c r="D264" s="335"/>
      <c r="E264" s="335"/>
      <c r="F264" s="335"/>
      <c r="G264" s="335"/>
      <c r="H264" s="335"/>
      <c r="I264" s="335"/>
      <c r="J264" s="335"/>
    </row>
    <row r="265" ht="39" customHeight="1" spans="1:10">
      <c r="A265" s="211" t="s">
        <v>496</v>
      </c>
      <c r="B265" s="211"/>
      <c r="C265" s="211"/>
      <c r="D265" s="336" t="s">
        <v>494</v>
      </c>
      <c r="E265" s="337" t="s">
        <v>485</v>
      </c>
      <c r="F265" s="337">
        <f>E266</f>
        <v>0</v>
      </c>
      <c r="G265" s="323">
        <v>0</v>
      </c>
      <c r="H265" s="323"/>
      <c r="I265" s="311">
        <f>ROUND((D265/E265*F265)*G265,2)</f>
        <v>0</v>
      </c>
      <c r="J265" s="311"/>
    </row>
    <row r="266" ht="27.6" customHeight="1" spans="1:10">
      <c r="A266" s="211" t="s">
        <v>497</v>
      </c>
      <c r="B266" s="211"/>
      <c r="C266" s="211"/>
      <c r="D266" s="336" t="s">
        <v>494</v>
      </c>
      <c r="E266" s="324">
        <f>'Qtd postos 40%'!C15</f>
        <v>0</v>
      </c>
      <c r="F266" s="324"/>
      <c r="G266" s="323">
        <f>J208</f>
        <v>4646.31338329601</v>
      </c>
      <c r="H266" s="323"/>
      <c r="I266" s="311">
        <v>0</v>
      </c>
      <c r="J266" s="311"/>
    </row>
    <row r="267" ht="14.65" customHeight="1" spans="1:10">
      <c r="A267" s="251" t="s">
        <v>466</v>
      </c>
      <c r="B267" s="251"/>
      <c r="C267" s="251"/>
      <c r="D267" s="251"/>
      <c r="E267" s="251"/>
      <c r="F267" s="251"/>
      <c r="G267" s="251"/>
      <c r="H267" s="251"/>
      <c r="I267" s="311">
        <f>SUM(I265+I266)</f>
        <v>0</v>
      </c>
      <c r="J267" s="311"/>
    </row>
    <row r="268" ht="14.65" customHeight="1" spans="1:10">
      <c r="A268" s="335"/>
      <c r="B268" s="335"/>
      <c r="C268" s="335"/>
      <c r="D268" s="335"/>
      <c r="E268" s="335"/>
      <c r="F268" s="335"/>
      <c r="G268" s="335"/>
      <c r="H268" s="335"/>
      <c r="I268" s="335"/>
      <c r="J268" s="335"/>
    </row>
    <row r="269" ht="14.65" customHeight="1" spans="1:10">
      <c r="A269" s="223" t="s">
        <v>498</v>
      </c>
      <c r="B269" s="223"/>
      <c r="C269" s="223"/>
      <c r="D269" s="223"/>
      <c r="E269" s="223"/>
      <c r="F269" s="223"/>
      <c r="G269" s="223"/>
      <c r="H269" s="223"/>
      <c r="I269" s="223"/>
      <c r="J269" s="223"/>
    </row>
    <row r="270" ht="14.65" customHeight="1" spans="1:10">
      <c r="A270" s="335"/>
      <c r="B270" s="335"/>
      <c r="C270" s="335"/>
      <c r="D270" s="335"/>
      <c r="E270" s="335"/>
      <c r="F270" s="335"/>
      <c r="G270" s="335"/>
      <c r="H270" s="335"/>
      <c r="I270" s="335"/>
      <c r="J270" s="335"/>
    </row>
    <row r="271" ht="43.7" customHeight="1" spans="1:10">
      <c r="A271" s="203" t="s">
        <v>499</v>
      </c>
      <c r="B271" s="203"/>
      <c r="C271" s="203"/>
      <c r="D271" s="203"/>
      <c r="E271" s="203"/>
      <c r="F271" s="203"/>
      <c r="G271" s="203"/>
      <c r="H271" s="203"/>
      <c r="I271" s="203"/>
      <c r="J271" s="203"/>
    </row>
    <row r="272" ht="75.2" customHeight="1" spans="1:10">
      <c r="A272" s="320" t="s">
        <v>500</v>
      </c>
      <c r="B272" s="320" t="s">
        <v>501</v>
      </c>
      <c r="C272" s="320"/>
      <c r="D272" s="320"/>
      <c r="E272" s="340" t="s">
        <v>502</v>
      </c>
      <c r="F272" s="340" t="s">
        <v>503</v>
      </c>
      <c r="G272" s="340"/>
      <c r="H272" s="340" t="s">
        <v>504</v>
      </c>
      <c r="I272" s="340" t="s">
        <v>505</v>
      </c>
      <c r="J272" s="340" t="s">
        <v>506</v>
      </c>
    </row>
    <row r="273" ht="63.75" spans="1:10">
      <c r="A273" s="341" t="s">
        <v>507</v>
      </c>
      <c r="B273" s="342">
        <v>1</v>
      </c>
      <c r="C273" s="343">
        <v>30</v>
      </c>
      <c r="D273" s="343">
        <f>C274</f>
        <v>0</v>
      </c>
      <c r="E273" s="344">
        <v>16</v>
      </c>
      <c r="F273" s="345" t="s">
        <v>494</v>
      </c>
      <c r="G273" s="345" t="s">
        <v>508</v>
      </c>
      <c r="H273" s="346">
        <v>0</v>
      </c>
      <c r="I273" s="311">
        <v>0</v>
      </c>
      <c r="J273" s="311">
        <v>0</v>
      </c>
    </row>
    <row r="274" ht="63.75" spans="1:10">
      <c r="A274" s="341" t="s">
        <v>509</v>
      </c>
      <c r="B274" s="342">
        <v>1</v>
      </c>
      <c r="C274" s="347">
        <f>'Qtd postos 40%'!C16</f>
        <v>0</v>
      </c>
      <c r="D274" s="347"/>
      <c r="E274" s="344">
        <v>16</v>
      </c>
      <c r="F274" s="345" t="s">
        <v>494</v>
      </c>
      <c r="G274" s="345" t="s">
        <v>508</v>
      </c>
      <c r="H274" s="346">
        <v>0</v>
      </c>
      <c r="I274" s="311">
        <f>J208</f>
        <v>4646.31338329601</v>
      </c>
      <c r="J274" s="311">
        <v>0</v>
      </c>
    </row>
    <row r="275" ht="14.65" customHeight="1" spans="1:10">
      <c r="A275" s="348" t="s">
        <v>466</v>
      </c>
      <c r="B275" s="348"/>
      <c r="C275" s="348"/>
      <c r="D275" s="348"/>
      <c r="E275" s="348"/>
      <c r="F275" s="348"/>
      <c r="G275" s="348"/>
      <c r="H275" s="348"/>
      <c r="I275" s="348"/>
      <c r="J275" s="311">
        <f>SUM(J273+J274)</f>
        <v>0</v>
      </c>
    </row>
    <row r="276" ht="14.65" customHeight="1" spans="1:10">
      <c r="A276" s="349"/>
      <c r="B276" s="349"/>
      <c r="C276" s="349"/>
      <c r="D276" s="349"/>
      <c r="E276" s="349"/>
      <c r="F276" s="349"/>
      <c r="G276" s="349"/>
      <c r="H276" s="349"/>
      <c r="I276" s="349"/>
      <c r="J276" s="349"/>
    </row>
    <row r="277" ht="63.75" spans="1:10">
      <c r="A277" s="341" t="s">
        <v>510</v>
      </c>
      <c r="B277" s="342">
        <v>1</v>
      </c>
      <c r="C277" s="343">
        <v>30</v>
      </c>
      <c r="D277" s="343">
        <f>C278</f>
        <v>0</v>
      </c>
      <c r="E277" s="344">
        <v>16</v>
      </c>
      <c r="F277" s="345" t="s">
        <v>494</v>
      </c>
      <c r="G277" s="345" t="s">
        <v>508</v>
      </c>
      <c r="H277" s="346">
        <v>0</v>
      </c>
      <c r="I277" s="311">
        <v>0</v>
      </c>
      <c r="J277" s="311">
        <v>0</v>
      </c>
    </row>
    <row r="278" ht="63.2" customHeight="1" spans="1:10">
      <c r="A278" s="341" t="s">
        <v>511</v>
      </c>
      <c r="B278" s="342">
        <v>1</v>
      </c>
      <c r="C278" s="347">
        <f>'Qtd postos 40%'!C17</f>
        <v>0</v>
      </c>
      <c r="D278" s="347"/>
      <c r="E278" s="344">
        <v>16</v>
      </c>
      <c r="F278" s="345" t="s">
        <v>494</v>
      </c>
      <c r="G278" s="345" t="s">
        <v>508</v>
      </c>
      <c r="H278" s="346">
        <v>0</v>
      </c>
      <c r="I278" s="311">
        <f>J208</f>
        <v>4646.31338329601</v>
      </c>
      <c r="J278" s="311">
        <v>0</v>
      </c>
    </row>
    <row r="279" ht="14.65" customHeight="1" spans="1:10">
      <c r="A279" s="251" t="s">
        <v>466</v>
      </c>
      <c r="B279" s="251"/>
      <c r="C279" s="251"/>
      <c r="D279" s="251"/>
      <c r="E279" s="251"/>
      <c r="F279" s="251"/>
      <c r="G279" s="251"/>
      <c r="H279" s="251"/>
      <c r="I279" s="251"/>
      <c r="J279" s="311">
        <f>SUM(J277+J278)</f>
        <v>0</v>
      </c>
    </row>
    <row r="280" spans="1:10">
      <c r="A280" s="349"/>
      <c r="B280" s="349"/>
      <c r="C280" s="349"/>
      <c r="D280" s="349"/>
      <c r="E280" s="349"/>
      <c r="F280" s="349"/>
      <c r="G280" s="349"/>
      <c r="H280" s="349"/>
      <c r="I280" s="349"/>
      <c r="J280" s="349"/>
    </row>
    <row r="281" ht="38.25" spans="1:10">
      <c r="A281" s="350" t="s">
        <v>512</v>
      </c>
      <c r="B281" s="342">
        <v>1</v>
      </c>
      <c r="C281" s="343">
        <v>30</v>
      </c>
      <c r="D281" s="343">
        <f>C282</f>
        <v>0</v>
      </c>
      <c r="E281" s="344">
        <v>16</v>
      </c>
      <c r="F281" s="345" t="s">
        <v>494</v>
      </c>
      <c r="G281" s="345" t="s">
        <v>508</v>
      </c>
      <c r="H281" s="346">
        <v>0</v>
      </c>
      <c r="I281" s="311">
        <v>0</v>
      </c>
      <c r="J281" s="311">
        <v>0</v>
      </c>
    </row>
    <row r="282" ht="27.6" customHeight="1" spans="1:10">
      <c r="A282" s="350" t="s">
        <v>513</v>
      </c>
      <c r="B282" s="342">
        <v>1</v>
      </c>
      <c r="C282" s="347">
        <f>'Qtd postos 40%'!C18</f>
        <v>0</v>
      </c>
      <c r="D282" s="347"/>
      <c r="E282" s="351">
        <v>16</v>
      </c>
      <c r="F282" s="345" t="s">
        <v>494</v>
      </c>
      <c r="G282" s="345" t="s">
        <v>508</v>
      </c>
      <c r="H282" s="346">
        <v>0</v>
      </c>
      <c r="I282" s="311">
        <f>J208</f>
        <v>4646.31338329601</v>
      </c>
      <c r="J282" s="311">
        <v>0</v>
      </c>
    </row>
    <row r="283" ht="14.65" customHeight="1" spans="1:10">
      <c r="A283" s="238" t="s">
        <v>466</v>
      </c>
      <c r="B283" s="238"/>
      <c r="C283" s="238"/>
      <c r="D283" s="238"/>
      <c r="E283" s="238"/>
      <c r="F283" s="238"/>
      <c r="G283" s="238"/>
      <c r="H283" s="238"/>
      <c r="I283" s="238"/>
      <c r="J283" s="374">
        <f>SUM(J281+J282)</f>
        <v>0</v>
      </c>
    </row>
    <row r="284" spans="1:10">
      <c r="A284" s="349"/>
      <c r="B284" s="349"/>
      <c r="C284" s="349"/>
      <c r="D284" s="349"/>
      <c r="E284" s="349"/>
      <c r="F284" s="349"/>
      <c r="G284" s="349"/>
      <c r="H284" s="349"/>
      <c r="I284" s="349"/>
      <c r="J284" s="349"/>
    </row>
    <row r="285" ht="14.65" customHeight="1" spans="1:10">
      <c r="A285" s="223" t="s">
        <v>514</v>
      </c>
      <c r="B285" s="223"/>
      <c r="C285" s="223"/>
      <c r="D285" s="223"/>
      <c r="E285" s="223"/>
      <c r="F285" s="223"/>
      <c r="G285" s="223"/>
      <c r="H285" s="223"/>
      <c r="I285" s="223"/>
      <c r="J285" s="223"/>
    </row>
    <row r="286" ht="14.65" customHeight="1" spans="1:10">
      <c r="A286" s="349"/>
      <c r="B286" s="349"/>
      <c r="C286" s="349"/>
      <c r="D286" s="349"/>
      <c r="E286" s="349"/>
      <c r="F286" s="349"/>
      <c r="G286" s="349"/>
      <c r="H286" s="349"/>
      <c r="I286" s="349"/>
      <c r="J286" s="349"/>
    </row>
    <row r="287" ht="14.65" customHeight="1" spans="1:10">
      <c r="A287" s="207" t="s">
        <v>515</v>
      </c>
      <c r="B287" s="207"/>
      <c r="C287" s="207"/>
      <c r="D287" s="207"/>
      <c r="E287" s="207"/>
      <c r="F287" s="207"/>
      <c r="G287" s="207"/>
      <c r="H287" s="207"/>
      <c r="I287" s="207"/>
      <c r="J287" s="207"/>
    </row>
    <row r="288" ht="75.2" customHeight="1" spans="1:10">
      <c r="A288" s="320" t="s">
        <v>500</v>
      </c>
      <c r="B288" s="352" t="s">
        <v>516</v>
      </c>
      <c r="C288" s="352"/>
      <c r="D288" s="352"/>
      <c r="E288" s="353" t="s">
        <v>517</v>
      </c>
      <c r="F288" s="353" t="s">
        <v>518</v>
      </c>
      <c r="G288" s="353"/>
      <c r="H288" s="353" t="s">
        <v>519</v>
      </c>
      <c r="I288" s="353" t="s">
        <v>520</v>
      </c>
      <c r="J288" s="353" t="s">
        <v>521</v>
      </c>
    </row>
    <row r="289" ht="25.5" spans="1:10">
      <c r="A289" s="354" t="s">
        <v>522</v>
      </c>
      <c r="B289" s="342">
        <v>1</v>
      </c>
      <c r="C289" s="343">
        <v>4</v>
      </c>
      <c r="D289" s="343">
        <f>C290</f>
        <v>0</v>
      </c>
      <c r="E289" s="342">
        <v>8</v>
      </c>
      <c r="F289" s="337">
        <v>1</v>
      </c>
      <c r="G289" s="355">
        <v>1132.6</v>
      </c>
      <c r="H289" s="356" t="e">
        <f>ROUND((B289/(C289*D289))*E289*(F289/G289),7)</f>
        <v>#DIV/0!</v>
      </c>
      <c r="I289" s="375">
        <v>0</v>
      </c>
      <c r="J289" s="311">
        <v>0</v>
      </c>
    </row>
    <row r="290" spans="1:10">
      <c r="A290" s="357" t="s">
        <v>523</v>
      </c>
      <c r="B290" s="342">
        <v>1</v>
      </c>
      <c r="C290" s="347">
        <f>'Qtd postos 40%'!C19</f>
        <v>0</v>
      </c>
      <c r="D290" s="347"/>
      <c r="E290" s="342">
        <v>8</v>
      </c>
      <c r="F290" s="358">
        <v>1</v>
      </c>
      <c r="G290" s="359">
        <v>1132.6</v>
      </c>
      <c r="H290" s="360" t="e">
        <f>ROUND((B290/C290)*E290*(F290/G290),7)</f>
        <v>#DIV/0!</v>
      </c>
      <c r="I290" s="376">
        <f>J208</f>
        <v>4646.31338329601</v>
      </c>
      <c r="J290" s="377">
        <v>0</v>
      </c>
    </row>
    <row r="291" ht="14.65" customHeight="1" spans="1:10">
      <c r="A291" s="238" t="s">
        <v>466</v>
      </c>
      <c r="B291" s="238"/>
      <c r="C291" s="238"/>
      <c r="D291" s="238"/>
      <c r="E291" s="238"/>
      <c r="F291" s="238"/>
      <c r="G291" s="238"/>
      <c r="H291" s="238"/>
      <c r="I291" s="238"/>
      <c r="J291" s="374">
        <f>SUM(J289+J290)</f>
        <v>0</v>
      </c>
    </row>
    <row r="292" spans="1:10">
      <c r="A292" s="349"/>
      <c r="B292" s="349"/>
      <c r="C292" s="349"/>
      <c r="D292" s="349"/>
      <c r="E292" s="349"/>
      <c r="F292" s="349"/>
      <c r="G292" s="349"/>
      <c r="H292" s="349"/>
      <c r="I292" s="349"/>
      <c r="J292" s="349"/>
    </row>
    <row r="293" ht="14.65" customHeight="1" spans="1:10">
      <c r="A293" s="223" t="s">
        <v>524</v>
      </c>
      <c r="B293" s="223"/>
      <c r="C293" s="223"/>
      <c r="D293" s="223"/>
      <c r="E293" s="223"/>
      <c r="F293" s="223"/>
      <c r="G293" s="223"/>
      <c r="H293" s="223"/>
      <c r="I293" s="223"/>
      <c r="J293" s="223"/>
    </row>
    <row r="294" spans="1:10">
      <c r="A294" s="349"/>
      <c r="B294" s="349"/>
      <c r="C294" s="349"/>
      <c r="D294" s="349"/>
      <c r="E294" s="349"/>
      <c r="F294" s="349"/>
      <c r="G294" s="349"/>
      <c r="H294" s="349"/>
      <c r="I294" s="349"/>
      <c r="J294" s="349"/>
    </row>
    <row r="295" spans="1:10">
      <c r="A295" s="361" t="s">
        <v>525</v>
      </c>
      <c r="B295" s="361"/>
      <c r="C295" s="361"/>
      <c r="D295" s="361"/>
      <c r="E295" s="361"/>
      <c r="F295" s="361"/>
      <c r="G295" s="361"/>
      <c r="H295" s="361"/>
      <c r="I295" s="361"/>
      <c r="J295" s="361"/>
    </row>
    <row r="296" spans="1:10">
      <c r="A296" s="361"/>
      <c r="B296" s="361"/>
      <c r="C296" s="361"/>
      <c r="D296" s="361"/>
      <c r="E296" s="361"/>
      <c r="F296" s="361"/>
      <c r="G296" s="361"/>
      <c r="H296" s="361"/>
      <c r="I296" s="361"/>
      <c r="J296" s="361"/>
    </row>
    <row r="297" ht="39" customHeight="1" spans="1:10">
      <c r="A297" s="210" t="s">
        <v>526</v>
      </c>
      <c r="B297" s="210"/>
      <c r="C297" s="210"/>
      <c r="D297" s="210" t="s">
        <v>461</v>
      </c>
      <c r="E297" s="210"/>
      <c r="F297" s="210"/>
      <c r="G297" s="210" t="s">
        <v>527</v>
      </c>
      <c r="H297" s="210"/>
      <c r="I297" s="210" t="s">
        <v>463</v>
      </c>
      <c r="J297" s="210"/>
    </row>
    <row r="298" ht="14.65" customHeight="1" spans="1:10">
      <c r="A298" s="219" t="s">
        <v>528</v>
      </c>
      <c r="B298" s="219"/>
      <c r="C298" s="219"/>
      <c r="D298" s="321">
        <v>1</v>
      </c>
      <c r="E298" s="362">
        <v>30</v>
      </c>
      <c r="F298" s="362">
        <f>E299</f>
        <v>0</v>
      </c>
      <c r="G298" s="363">
        <v>0</v>
      </c>
      <c r="H298" s="363"/>
      <c r="I298" s="311">
        <v>0</v>
      </c>
      <c r="J298" s="311"/>
    </row>
    <row r="299" ht="14.65" customHeight="1" spans="1:10">
      <c r="A299" s="219" t="s">
        <v>529</v>
      </c>
      <c r="B299" s="219"/>
      <c r="C299" s="219"/>
      <c r="D299" s="321">
        <v>1</v>
      </c>
      <c r="E299" s="364">
        <f>'Qtd postos 40%'!C20</f>
        <v>0</v>
      </c>
      <c r="F299" s="364"/>
      <c r="G299" s="363">
        <v>0</v>
      </c>
      <c r="H299" s="363"/>
      <c r="I299" s="311">
        <v>0</v>
      </c>
      <c r="J299" s="311"/>
    </row>
    <row r="300" ht="14.65" customHeight="1" spans="1:10">
      <c r="A300" s="238" t="s">
        <v>466</v>
      </c>
      <c r="B300" s="238"/>
      <c r="C300" s="238"/>
      <c r="D300" s="238"/>
      <c r="E300" s="238"/>
      <c r="F300" s="238"/>
      <c r="G300" s="238"/>
      <c r="H300" s="238"/>
      <c r="I300" s="233">
        <f>SUM(I298+I299)</f>
        <v>0</v>
      </c>
      <c r="J300" s="233"/>
    </row>
    <row r="301" ht="14.65" customHeight="1" spans="1:10">
      <c r="A301" s="349"/>
      <c r="B301" s="349"/>
      <c r="C301" s="349"/>
      <c r="D301" s="349"/>
      <c r="E301" s="349"/>
      <c r="F301" s="349"/>
      <c r="G301" s="349"/>
      <c r="H301" s="349"/>
      <c r="I301" s="349"/>
      <c r="J301" s="349"/>
    </row>
    <row r="302" ht="14.65" customHeight="1" spans="1:10">
      <c r="A302" s="223" t="s">
        <v>530</v>
      </c>
      <c r="B302" s="223"/>
      <c r="C302" s="223"/>
      <c r="D302" s="223"/>
      <c r="E302" s="223"/>
      <c r="F302" s="223"/>
      <c r="G302" s="223"/>
      <c r="H302" s="223"/>
      <c r="I302" s="223"/>
      <c r="J302" s="223"/>
    </row>
    <row r="303" ht="14.65" customHeight="1" spans="1:10">
      <c r="A303" s="349"/>
      <c r="B303" s="349"/>
      <c r="C303" s="349"/>
      <c r="D303" s="349"/>
      <c r="E303" s="349"/>
      <c r="F303" s="349"/>
      <c r="G303" s="349"/>
      <c r="H303" s="349"/>
      <c r="I303" s="349"/>
      <c r="J303" s="349"/>
    </row>
    <row r="304" ht="20" customHeight="1" spans="1:10">
      <c r="A304" s="223"/>
      <c r="B304" s="223"/>
      <c r="C304" s="223"/>
      <c r="D304" s="223"/>
      <c r="E304" s="223"/>
      <c r="F304" s="223"/>
      <c r="G304" s="223"/>
      <c r="H304" s="223"/>
      <c r="I304" s="223"/>
      <c r="J304" s="223"/>
    </row>
    <row r="305" ht="17.1" customHeight="1" spans="1:10">
      <c r="A305" s="365" t="s">
        <v>531</v>
      </c>
      <c r="B305" s="365"/>
      <c r="C305" s="365"/>
      <c r="D305" s="365"/>
      <c r="E305" s="365"/>
      <c r="F305" s="365"/>
      <c r="G305" s="365"/>
      <c r="H305" s="365"/>
      <c r="I305" s="365"/>
      <c r="J305" s="365"/>
    </row>
    <row r="306" ht="27.6" customHeight="1" spans="1:10">
      <c r="A306" s="220" t="s">
        <v>19</v>
      </c>
      <c r="B306" s="220"/>
      <c r="C306" s="220"/>
      <c r="D306" s="220"/>
      <c r="E306" s="220"/>
      <c r="F306" s="210" t="s">
        <v>532</v>
      </c>
      <c r="G306" s="210"/>
      <c r="H306" s="210" t="s">
        <v>533</v>
      </c>
      <c r="I306" s="210" t="s">
        <v>534</v>
      </c>
      <c r="J306" s="210"/>
    </row>
    <row r="307" ht="14.65" customHeight="1" spans="1:10">
      <c r="A307" s="366" t="s">
        <v>274</v>
      </c>
      <c r="B307" s="366"/>
      <c r="C307" s="366"/>
      <c r="D307" s="366"/>
      <c r="E307" s="366"/>
      <c r="F307" s="367">
        <f>I215</f>
        <v>0</v>
      </c>
      <c r="G307" s="367"/>
      <c r="H307" s="368">
        <f t="shared" ref="H307:H314" si="1">I13</f>
        <v>0</v>
      </c>
      <c r="I307" s="275">
        <f t="shared" ref="I307:I313" si="2">ROUND(F307*H307,2)</f>
        <v>0</v>
      </c>
      <c r="J307" s="275"/>
    </row>
    <row r="308" ht="14.65" customHeight="1" spans="1:10">
      <c r="A308" s="366" t="s">
        <v>276</v>
      </c>
      <c r="B308" s="366"/>
      <c r="C308" s="366"/>
      <c r="D308" s="366"/>
      <c r="E308" s="366"/>
      <c r="F308" s="367">
        <f>I219</f>
        <v>0</v>
      </c>
      <c r="G308" s="367"/>
      <c r="H308" s="368">
        <f t="shared" si="1"/>
        <v>0</v>
      </c>
      <c r="I308" s="275">
        <f t="shared" si="2"/>
        <v>0</v>
      </c>
      <c r="J308" s="275"/>
    </row>
    <row r="309" ht="14.65" customHeight="1" spans="1:10">
      <c r="A309" s="366" t="s">
        <v>277</v>
      </c>
      <c r="B309" s="366"/>
      <c r="C309" s="366"/>
      <c r="D309" s="366"/>
      <c r="E309" s="366"/>
      <c r="F309" s="367">
        <f>I223</f>
        <v>0</v>
      </c>
      <c r="G309" s="367"/>
      <c r="H309" s="368">
        <f t="shared" si="1"/>
        <v>0</v>
      </c>
      <c r="I309" s="275">
        <f t="shared" si="2"/>
        <v>0</v>
      </c>
      <c r="J309" s="275"/>
    </row>
    <row r="310" ht="14.65" customHeight="1" spans="1:10">
      <c r="A310" s="366" t="s">
        <v>278</v>
      </c>
      <c r="B310" s="366"/>
      <c r="C310" s="366"/>
      <c r="D310" s="366"/>
      <c r="E310" s="366"/>
      <c r="F310" s="367">
        <f>I227</f>
        <v>0</v>
      </c>
      <c r="G310" s="367"/>
      <c r="H310" s="368">
        <f t="shared" si="1"/>
        <v>0</v>
      </c>
      <c r="I310" s="275">
        <f t="shared" si="2"/>
        <v>0</v>
      </c>
      <c r="J310" s="275"/>
    </row>
    <row r="311" ht="14.65" customHeight="1" spans="1:10">
      <c r="A311" s="366" t="s">
        <v>564</v>
      </c>
      <c r="B311" s="366"/>
      <c r="C311" s="366"/>
      <c r="D311" s="366"/>
      <c r="E311" s="366"/>
      <c r="F311" s="367">
        <f>I231</f>
        <v>0</v>
      </c>
      <c r="G311" s="367"/>
      <c r="H311" s="368">
        <f t="shared" si="1"/>
        <v>0</v>
      </c>
      <c r="I311" s="275">
        <f t="shared" si="2"/>
        <v>0</v>
      </c>
      <c r="J311" s="275"/>
    </row>
    <row r="312" ht="14.65" customHeight="1" spans="1:10">
      <c r="A312" s="369" t="s">
        <v>280</v>
      </c>
      <c r="B312" s="369"/>
      <c r="C312" s="369"/>
      <c r="D312" s="369"/>
      <c r="E312" s="369"/>
      <c r="F312" s="367">
        <f>I235</f>
        <v>0</v>
      </c>
      <c r="G312" s="367"/>
      <c r="H312" s="368">
        <f t="shared" si="1"/>
        <v>0</v>
      </c>
      <c r="I312" s="275">
        <f t="shared" si="2"/>
        <v>0</v>
      </c>
      <c r="J312" s="275"/>
    </row>
    <row r="313" ht="14.65" customHeight="1" spans="1:10">
      <c r="A313" s="203" t="s">
        <v>536</v>
      </c>
      <c r="B313" s="203"/>
      <c r="C313" s="203"/>
      <c r="D313" s="203"/>
      <c r="E313" s="203"/>
      <c r="F313" s="270">
        <f>I239</f>
        <v>25.81</v>
      </c>
      <c r="G313" s="270"/>
      <c r="H313" s="370">
        <f t="shared" si="1"/>
        <v>739.35</v>
      </c>
      <c r="I313" s="275">
        <f t="shared" si="2"/>
        <v>19082.62</v>
      </c>
      <c r="J313" s="275"/>
    </row>
    <row r="314" ht="14.65" customHeight="1" spans="1:10">
      <c r="A314" s="371" t="s">
        <v>285</v>
      </c>
      <c r="B314" s="371"/>
      <c r="C314" s="371"/>
      <c r="D314" s="371"/>
      <c r="E314" s="371"/>
      <c r="F314" s="371"/>
      <c r="G314" s="371"/>
      <c r="H314" s="372">
        <f t="shared" si="1"/>
        <v>739.35</v>
      </c>
      <c r="I314" s="233">
        <f>SUM(I307:I313)</f>
        <v>19082.62</v>
      </c>
      <c r="J314" s="233"/>
    </row>
    <row r="315" ht="14.65" customHeight="1" spans="1:10">
      <c r="A315" s="349"/>
      <c r="B315" s="349"/>
      <c r="C315" s="349"/>
      <c r="D315" s="349"/>
      <c r="E315" s="349"/>
      <c r="F315" s="349"/>
      <c r="G315" s="349"/>
      <c r="H315" s="349"/>
      <c r="I315" s="349"/>
      <c r="J315" s="349"/>
    </row>
    <row r="316" ht="27.6" customHeight="1" spans="1:10">
      <c r="A316" s="369" t="s">
        <v>286</v>
      </c>
      <c r="B316" s="369"/>
      <c r="C316" s="369"/>
      <c r="D316" s="369"/>
      <c r="E316" s="369"/>
      <c r="F316" s="270">
        <f>I246</f>
        <v>0</v>
      </c>
      <c r="G316" s="270"/>
      <c r="H316" s="275">
        <f t="shared" ref="H316:H322" si="3">J22</f>
        <v>0</v>
      </c>
      <c r="I316" s="275">
        <f t="shared" ref="I316:I321" si="4">ROUND(F316*H316,2)</f>
        <v>0</v>
      </c>
      <c r="J316" s="275"/>
    </row>
    <row r="317" ht="14.65" customHeight="1" spans="1:10">
      <c r="A317" s="369" t="s">
        <v>537</v>
      </c>
      <c r="B317" s="369"/>
      <c r="C317" s="369"/>
      <c r="D317" s="369"/>
      <c r="E317" s="369"/>
      <c r="F317" s="270">
        <f>I250</f>
        <v>0</v>
      </c>
      <c r="G317" s="270"/>
      <c r="H317" s="275">
        <f t="shared" si="3"/>
        <v>0</v>
      </c>
      <c r="I317" s="275">
        <f t="shared" si="4"/>
        <v>0</v>
      </c>
      <c r="J317" s="275"/>
    </row>
    <row r="318" ht="14.65" customHeight="1" spans="1:10">
      <c r="A318" s="369" t="s">
        <v>538</v>
      </c>
      <c r="B318" s="369"/>
      <c r="C318" s="369"/>
      <c r="D318" s="369"/>
      <c r="E318" s="369"/>
      <c r="F318" s="270">
        <f>I254</f>
        <v>0</v>
      </c>
      <c r="G318" s="270"/>
      <c r="H318" s="275">
        <f t="shared" si="3"/>
        <v>0</v>
      </c>
      <c r="I318" s="275">
        <f t="shared" si="4"/>
        <v>0</v>
      </c>
      <c r="J318" s="275"/>
    </row>
    <row r="319" ht="14.65" customHeight="1" spans="1:10">
      <c r="A319" s="369" t="s">
        <v>539</v>
      </c>
      <c r="B319" s="369"/>
      <c r="C319" s="369"/>
      <c r="D319" s="369"/>
      <c r="E319" s="369"/>
      <c r="F319" s="270">
        <f>I258</f>
        <v>0</v>
      </c>
      <c r="G319" s="270"/>
      <c r="H319" s="275">
        <f t="shared" si="3"/>
        <v>0</v>
      </c>
      <c r="I319" s="275">
        <f t="shared" si="4"/>
        <v>0</v>
      </c>
      <c r="J319" s="275"/>
    </row>
    <row r="320" ht="14.65" customHeight="1" spans="1:10">
      <c r="A320" s="369" t="s">
        <v>540</v>
      </c>
      <c r="B320" s="369"/>
      <c r="C320" s="369"/>
      <c r="D320" s="369"/>
      <c r="E320" s="369"/>
      <c r="F320" s="270">
        <f>I262</f>
        <v>0</v>
      </c>
      <c r="G320" s="270"/>
      <c r="H320" s="275">
        <f t="shared" si="3"/>
        <v>0</v>
      </c>
      <c r="I320" s="275">
        <f t="shared" si="4"/>
        <v>0</v>
      </c>
      <c r="J320" s="275"/>
    </row>
    <row r="321" ht="25.9" customHeight="1" spans="1:10">
      <c r="A321" s="378" t="s">
        <v>541</v>
      </c>
      <c r="B321" s="378"/>
      <c r="C321" s="378"/>
      <c r="D321" s="378"/>
      <c r="E321" s="378"/>
      <c r="F321" s="270">
        <f>I266</f>
        <v>0</v>
      </c>
      <c r="G321" s="270"/>
      <c r="H321" s="275">
        <f t="shared" si="3"/>
        <v>0</v>
      </c>
      <c r="I321" s="275">
        <f t="shared" si="4"/>
        <v>0</v>
      </c>
      <c r="J321" s="275"/>
    </row>
    <row r="322" ht="14.65" customHeight="1" spans="1:10">
      <c r="A322" s="371" t="s">
        <v>292</v>
      </c>
      <c r="B322" s="371"/>
      <c r="C322" s="371"/>
      <c r="D322" s="371"/>
      <c r="E322" s="371"/>
      <c r="F322" s="371"/>
      <c r="G322" s="371"/>
      <c r="H322" s="379">
        <f t="shared" si="3"/>
        <v>0</v>
      </c>
      <c r="I322" s="233">
        <f>SUM(I316:I321)</f>
        <v>0</v>
      </c>
      <c r="J322" s="233"/>
    </row>
    <row r="323" ht="14.65" customHeight="1" spans="1:10">
      <c r="A323" s="349"/>
      <c r="B323" s="349"/>
      <c r="C323" s="349"/>
      <c r="D323" s="349"/>
      <c r="E323" s="349"/>
      <c r="F323" s="349"/>
      <c r="G323" s="349"/>
      <c r="H323" s="349"/>
      <c r="I323" s="349"/>
      <c r="J323" s="349"/>
    </row>
    <row r="324" ht="27.6" customHeight="1" spans="1:10">
      <c r="A324" s="380" t="s">
        <v>293</v>
      </c>
      <c r="B324" s="380"/>
      <c r="C324" s="380"/>
      <c r="D324" s="380"/>
      <c r="E324" s="380"/>
      <c r="F324" s="270">
        <f>J274</f>
        <v>0</v>
      </c>
      <c r="G324" s="270"/>
      <c r="H324" s="370">
        <f t="shared" ref="H324:H327" si="5">J30</f>
        <v>0</v>
      </c>
      <c r="I324" s="275">
        <f>ROUND(F324*H324,2)</f>
        <v>0</v>
      </c>
      <c r="J324" s="275"/>
    </row>
    <row r="325" ht="14.65" customHeight="1" spans="1:10">
      <c r="A325" s="380" t="s">
        <v>542</v>
      </c>
      <c r="B325" s="380"/>
      <c r="C325" s="380"/>
      <c r="D325" s="380"/>
      <c r="E325" s="380"/>
      <c r="F325" s="270">
        <f>J278</f>
        <v>0</v>
      </c>
      <c r="G325" s="270"/>
      <c r="H325" s="370">
        <f t="shared" si="5"/>
        <v>0</v>
      </c>
      <c r="I325" s="275">
        <f>ROUND((F325*H325),2)</f>
        <v>0</v>
      </c>
      <c r="J325" s="275"/>
    </row>
    <row r="326" ht="14.65" customHeight="1" spans="1:10">
      <c r="A326" s="380" t="s">
        <v>543</v>
      </c>
      <c r="B326" s="380"/>
      <c r="C326" s="380"/>
      <c r="D326" s="380"/>
      <c r="E326" s="380"/>
      <c r="F326" s="270">
        <f>J282</f>
        <v>0</v>
      </c>
      <c r="G326" s="270"/>
      <c r="H326" s="370">
        <f t="shared" si="5"/>
        <v>0</v>
      </c>
      <c r="I326" s="275">
        <f>ROUND((F326*H326),2)</f>
        <v>0</v>
      </c>
      <c r="J326" s="275"/>
    </row>
    <row r="327" ht="14.65" customHeight="1" spans="1:10">
      <c r="A327" s="371" t="s">
        <v>544</v>
      </c>
      <c r="B327" s="371"/>
      <c r="C327" s="371"/>
      <c r="D327" s="371"/>
      <c r="E327" s="371"/>
      <c r="F327" s="371"/>
      <c r="G327" s="371"/>
      <c r="H327" s="372">
        <f t="shared" si="5"/>
        <v>0</v>
      </c>
      <c r="I327" s="233">
        <f>SUM(I324:I326)</f>
        <v>0</v>
      </c>
      <c r="J327" s="233"/>
    </row>
    <row r="328" ht="14.65" customHeight="1" spans="1:10">
      <c r="A328" s="349"/>
      <c r="B328" s="349"/>
      <c r="C328" s="349"/>
      <c r="D328" s="349"/>
      <c r="E328" s="349"/>
      <c r="F328" s="349"/>
      <c r="G328" s="349"/>
      <c r="H328" s="349"/>
      <c r="I328" s="349"/>
      <c r="J328" s="349"/>
    </row>
    <row r="329" ht="14.65" customHeight="1" spans="1:10">
      <c r="A329" s="203" t="s">
        <v>545</v>
      </c>
      <c r="B329" s="203"/>
      <c r="C329" s="203"/>
      <c r="D329" s="203"/>
      <c r="E329" s="203"/>
      <c r="F329" s="367">
        <f>J290</f>
        <v>0</v>
      </c>
      <c r="G329" s="367"/>
      <c r="H329" s="381">
        <f>J36</f>
        <v>0</v>
      </c>
      <c r="I329" s="373">
        <f>ROUND(F329*H329,2)</f>
        <v>0</v>
      </c>
      <c r="J329" s="373"/>
    </row>
    <row r="330" ht="14.65" customHeight="1" spans="1:10">
      <c r="A330" s="371" t="s">
        <v>546</v>
      </c>
      <c r="B330" s="371"/>
      <c r="C330" s="371"/>
      <c r="D330" s="371"/>
      <c r="E330" s="371"/>
      <c r="F330" s="371"/>
      <c r="G330" s="371"/>
      <c r="H330" s="372">
        <f>H329</f>
        <v>0</v>
      </c>
      <c r="I330" s="233">
        <f>I329</f>
        <v>0</v>
      </c>
      <c r="J330" s="233"/>
    </row>
    <row r="331" ht="14.65" customHeight="1" spans="1:10">
      <c r="A331" s="349"/>
      <c r="B331" s="349"/>
      <c r="C331" s="349"/>
      <c r="D331" s="349"/>
      <c r="E331" s="349"/>
      <c r="F331" s="349"/>
      <c r="G331" s="349"/>
      <c r="H331" s="349"/>
      <c r="I331" s="349"/>
      <c r="J331" s="349"/>
    </row>
    <row r="332" spans="1:10">
      <c r="A332" s="366" t="s">
        <v>299</v>
      </c>
      <c r="B332" s="366"/>
      <c r="C332" s="366"/>
      <c r="D332" s="366"/>
      <c r="E332" s="366"/>
      <c r="F332" s="351"/>
      <c r="G332" s="351"/>
      <c r="H332" s="368">
        <v>0</v>
      </c>
      <c r="I332" s="275">
        <v>0</v>
      </c>
      <c r="J332" s="275"/>
    </row>
    <row r="333" ht="14.65" customHeight="1" spans="1:10">
      <c r="A333" s="382" t="s">
        <v>547</v>
      </c>
      <c r="B333" s="382"/>
      <c r="C333" s="382"/>
      <c r="D333" s="382"/>
      <c r="E333" s="382"/>
      <c r="F333" s="382"/>
      <c r="G333" s="382"/>
      <c r="H333" s="381">
        <f>J37</f>
        <v>0</v>
      </c>
      <c r="I333" s="373">
        <f>J332</f>
        <v>0</v>
      </c>
      <c r="J333" s="373"/>
    </row>
    <row r="334" spans="1:10">
      <c r="A334" s="349"/>
      <c r="B334" s="349"/>
      <c r="C334" s="349"/>
      <c r="D334" s="349"/>
      <c r="E334" s="349"/>
      <c r="F334" s="349"/>
      <c r="G334" s="349"/>
      <c r="H334" s="349"/>
      <c r="I334" s="349"/>
      <c r="J334" s="349"/>
    </row>
    <row r="335" ht="14.65" customHeight="1" spans="1:10">
      <c r="A335" s="369" t="s">
        <v>301</v>
      </c>
      <c r="B335" s="369"/>
      <c r="C335" s="369"/>
      <c r="D335" s="369"/>
      <c r="E335" s="369"/>
      <c r="F335" s="369"/>
      <c r="G335" s="369"/>
      <c r="H335" s="368">
        <f>J39</f>
        <v>0</v>
      </c>
      <c r="I335" s="275">
        <f>J335</f>
        <v>0</v>
      </c>
      <c r="J335" s="275"/>
    </row>
    <row r="336" ht="14.65" customHeight="1" spans="1:10">
      <c r="A336" s="383" t="s">
        <v>302</v>
      </c>
      <c r="B336" s="383"/>
      <c r="C336" s="383"/>
      <c r="D336" s="383"/>
      <c r="E336" s="383"/>
      <c r="F336" s="383"/>
      <c r="G336" s="383"/>
      <c r="H336" s="381">
        <v>0</v>
      </c>
      <c r="I336" s="373">
        <f>I335</f>
        <v>0</v>
      </c>
      <c r="J336" s="373"/>
    </row>
    <row r="337" ht="14.65" customHeight="1" spans="1:10">
      <c r="A337" s="349"/>
      <c r="B337" s="349"/>
      <c r="C337" s="349"/>
      <c r="D337" s="349"/>
      <c r="E337" s="349"/>
      <c r="F337" s="349"/>
      <c r="G337" s="349"/>
      <c r="H337" s="349"/>
      <c r="I337" s="349"/>
      <c r="J337" s="349"/>
    </row>
    <row r="338" ht="14.65" customHeight="1" spans="1:10">
      <c r="A338" s="382" t="s">
        <v>466</v>
      </c>
      <c r="B338" s="382"/>
      <c r="C338" s="382"/>
      <c r="D338" s="382"/>
      <c r="E338" s="382"/>
      <c r="F338" s="382"/>
      <c r="G338" s="382"/>
      <c r="H338" s="381">
        <f>ROUND(H314+H322+H327+H330+H333+H336,2)</f>
        <v>739.35</v>
      </c>
      <c r="I338" s="373">
        <f>SUM(I314+I322+I327+I330+I333+I336)</f>
        <v>19082.62</v>
      </c>
      <c r="J338" s="373"/>
    </row>
    <row r="339" spans="1:10">
      <c r="A339" s="349"/>
      <c r="B339" s="349"/>
      <c r="C339" s="349"/>
      <c r="D339" s="349"/>
      <c r="E339" s="349"/>
      <c r="F339" s="349"/>
      <c r="G339" s="349"/>
      <c r="H339" s="349"/>
      <c r="I339" s="349"/>
      <c r="J339" s="349"/>
    </row>
    <row r="340" ht="20.1" customHeight="1" spans="1:10">
      <c r="A340" s="384" t="s">
        <v>548</v>
      </c>
      <c r="B340" s="384"/>
      <c r="C340" s="384"/>
      <c r="D340" s="384"/>
      <c r="E340" s="384"/>
      <c r="F340" s="384"/>
      <c r="G340" s="384"/>
      <c r="H340" s="384"/>
      <c r="I340" s="388">
        <f>I338</f>
        <v>19082.62</v>
      </c>
      <c r="J340" s="388"/>
    </row>
    <row r="341" spans="1:10">
      <c r="A341" s="349"/>
      <c r="B341" s="349"/>
      <c r="C341" s="349"/>
      <c r="D341" s="349"/>
      <c r="E341" s="349"/>
      <c r="F341" s="349"/>
      <c r="G341" s="349"/>
      <c r="H341" s="349"/>
      <c r="I341" s="349"/>
      <c r="J341" s="349"/>
    </row>
    <row r="342" ht="20.1" customHeight="1" spans="1:10">
      <c r="A342" s="385" t="s">
        <v>549</v>
      </c>
      <c r="B342" s="385"/>
      <c r="C342" s="385"/>
      <c r="D342" s="385"/>
      <c r="E342" s="385"/>
      <c r="F342" s="385"/>
      <c r="G342" s="385"/>
      <c r="H342" s="385"/>
      <c r="I342" s="388">
        <f>H10</f>
        <v>20</v>
      </c>
      <c r="J342" s="388"/>
    </row>
    <row r="343" spans="1:10">
      <c r="A343" s="349"/>
      <c r="B343" s="349"/>
      <c r="C343" s="349"/>
      <c r="D343" s="349"/>
      <c r="E343" s="349"/>
      <c r="F343" s="349"/>
      <c r="G343" s="349"/>
      <c r="H343" s="349"/>
      <c r="I343" s="349"/>
      <c r="J343" s="349"/>
    </row>
    <row r="344" ht="20.1" customHeight="1" spans="1:10">
      <c r="A344" s="386" t="s">
        <v>550</v>
      </c>
      <c r="B344" s="386"/>
      <c r="C344" s="386"/>
      <c r="D344" s="386"/>
      <c r="E344" s="386"/>
      <c r="F344" s="386"/>
      <c r="G344" s="386"/>
      <c r="H344" s="386"/>
      <c r="I344" s="388">
        <f>ROUND(I338*I342,2)</f>
        <v>381652.4</v>
      </c>
      <c r="J344" s="388"/>
    </row>
    <row r="345" spans="1:10">
      <c r="A345" s="349"/>
      <c r="B345" s="349"/>
      <c r="C345" s="349"/>
      <c r="D345" s="349"/>
      <c r="E345" s="349"/>
      <c r="F345" s="349"/>
      <c r="G345" s="349"/>
      <c r="H345" s="349"/>
      <c r="I345" s="349"/>
      <c r="J345" s="349"/>
    </row>
    <row r="346" ht="14.65" customHeight="1" spans="1:10">
      <c r="A346" s="203" t="s">
        <v>565</v>
      </c>
      <c r="B346" s="203"/>
      <c r="C346" s="203"/>
      <c r="D346" s="203"/>
      <c r="E346" s="203"/>
      <c r="F346" s="203"/>
      <c r="G346" s="203"/>
      <c r="H346" s="203"/>
      <c r="I346" s="203"/>
      <c r="J346" s="203"/>
    </row>
    <row r="347" spans="1:10">
      <c r="A347" s="220" t="s">
        <v>552</v>
      </c>
      <c r="B347" s="220"/>
      <c r="C347" s="220"/>
      <c r="D347" s="220"/>
      <c r="E347" s="220"/>
      <c r="F347" s="220"/>
      <c r="G347" s="220" t="s">
        <v>553</v>
      </c>
      <c r="H347" s="220"/>
      <c r="I347" s="220"/>
      <c r="J347" s="220"/>
    </row>
    <row r="348" spans="1:10">
      <c r="A348" s="219" t="s">
        <v>554</v>
      </c>
      <c r="B348" s="219"/>
      <c r="C348" s="219"/>
      <c r="D348" s="219"/>
      <c r="E348" s="219"/>
      <c r="F348" s="219"/>
      <c r="G348" s="217"/>
      <c r="H348" s="217"/>
      <c r="I348" s="217"/>
      <c r="J348" s="217"/>
    </row>
    <row r="349" spans="1:10">
      <c r="A349" s="219" t="s">
        <v>555</v>
      </c>
      <c r="B349" s="219"/>
      <c r="C349" s="219"/>
      <c r="D349" s="219"/>
      <c r="E349" s="219"/>
      <c r="F349" s="219"/>
      <c r="G349" s="217"/>
      <c r="H349" s="217"/>
      <c r="I349" s="217"/>
      <c r="J349" s="217"/>
    </row>
    <row r="350" spans="1:10">
      <c r="A350" s="349"/>
      <c r="B350" s="349"/>
      <c r="C350" s="349"/>
      <c r="D350" s="349"/>
      <c r="E350" s="349"/>
      <c r="F350" s="349"/>
      <c r="G350" s="349"/>
      <c r="H350" s="349"/>
      <c r="I350" s="349"/>
      <c r="J350" s="349"/>
    </row>
    <row r="351" ht="27.6" customHeight="1" spans="1:10">
      <c r="A351" s="203" t="s">
        <v>556</v>
      </c>
      <c r="B351" s="203"/>
      <c r="C351" s="203"/>
      <c r="D351" s="203"/>
      <c r="E351" s="203"/>
      <c r="F351" s="203"/>
      <c r="G351" s="203"/>
      <c r="H351" s="203"/>
      <c r="I351" s="203"/>
      <c r="J351" s="203"/>
    </row>
    <row r="352" ht="14.65" customHeight="1" spans="1:10">
      <c r="A352" s="210" t="s">
        <v>557</v>
      </c>
      <c r="B352" s="210"/>
      <c r="C352" s="210"/>
      <c r="D352" s="210"/>
      <c r="E352" s="210"/>
      <c r="F352" s="210"/>
      <c r="G352" s="210"/>
      <c r="H352" s="210"/>
      <c r="I352" s="210"/>
      <c r="J352" s="210" t="s">
        <v>558</v>
      </c>
    </row>
    <row r="353" ht="15" spans="1:10">
      <c r="A353" s="387"/>
      <c r="B353" s="387"/>
      <c r="C353" s="387"/>
      <c r="D353" s="387"/>
      <c r="E353" s="387"/>
      <c r="F353" s="387"/>
      <c r="G353" s="387"/>
      <c r="H353" s="387"/>
      <c r="I353" s="387"/>
      <c r="J353" s="207"/>
    </row>
    <row r="354" spans="1:10">
      <c r="A354" s="366"/>
      <c r="B354" s="366"/>
      <c r="C354" s="366"/>
      <c r="D354" s="366"/>
      <c r="E354" s="366"/>
      <c r="F354" s="366"/>
      <c r="G354" s="366"/>
      <c r="H354" s="366"/>
      <c r="I354" s="366"/>
      <c r="J354" s="207"/>
    </row>
    <row r="355" spans="1:10">
      <c r="A355" s="380"/>
      <c r="B355" s="380"/>
      <c r="C355" s="380"/>
      <c r="D355" s="380"/>
      <c r="E355" s="380"/>
      <c r="F355" s="380"/>
      <c r="G355" s="380"/>
      <c r="H355" s="380"/>
      <c r="I355" s="380"/>
      <c r="J355" s="207"/>
    </row>
  </sheetData>
  <mergeCells count="540"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F12"/>
    <mergeCell ref="G12:H12"/>
    <mergeCell ref="I12:J12"/>
    <mergeCell ref="A13:F13"/>
    <mergeCell ref="G13:H13"/>
    <mergeCell ref="I13:J13"/>
    <mergeCell ref="A14:F14"/>
    <mergeCell ref="G14:H14"/>
    <mergeCell ref="I14:J14"/>
    <mergeCell ref="A15:F15"/>
    <mergeCell ref="G15:H15"/>
    <mergeCell ref="I15:J15"/>
    <mergeCell ref="A16:F16"/>
    <mergeCell ref="G16:H16"/>
    <mergeCell ref="I16:J16"/>
    <mergeCell ref="A17:F17"/>
    <mergeCell ref="G17:H17"/>
    <mergeCell ref="I17:J17"/>
    <mergeCell ref="A18:F18"/>
    <mergeCell ref="G18:H18"/>
    <mergeCell ref="I18:J18"/>
    <mergeCell ref="A19:F19"/>
    <mergeCell ref="G19:H19"/>
    <mergeCell ref="I19:J19"/>
    <mergeCell ref="A20:H20"/>
    <mergeCell ref="I20:J20"/>
    <mergeCell ref="A21:J21"/>
    <mergeCell ref="A22:G22"/>
    <mergeCell ref="H22:I22"/>
    <mergeCell ref="A23:G23"/>
    <mergeCell ref="H23:I23"/>
    <mergeCell ref="A24:G24"/>
    <mergeCell ref="H24:I24"/>
    <mergeCell ref="A25:G25"/>
    <mergeCell ref="H25:I25"/>
    <mergeCell ref="A26:G26"/>
    <mergeCell ref="H26:I26"/>
    <mergeCell ref="A27:G27"/>
    <mergeCell ref="H27:I27"/>
    <mergeCell ref="A28:I28"/>
    <mergeCell ref="A29:J29"/>
    <mergeCell ref="A30:G30"/>
    <mergeCell ref="H30:I30"/>
    <mergeCell ref="A31:G31"/>
    <mergeCell ref="H31:I31"/>
    <mergeCell ref="A32:G32"/>
    <mergeCell ref="H32:I32"/>
    <mergeCell ref="A33:I33"/>
    <mergeCell ref="A34:J34"/>
    <mergeCell ref="A35:G35"/>
    <mergeCell ref="H35:I35"/>
    <mergeCell ref="A36:I36"/>
    <mergeCell ref="A37:J37"/>
    <mergeCell ref="A38:G38"/>
    <mergeCell ref="H38:I38"/>
    <mergeCell ref="A39:I39"/>
    <mergeCell ref="A40:J40"/>
    <mergeCell ref="A41:G41"/>
    <mergeCell ref="H41:I41"/>
    <mergeCell ref="A42:I42"/>
    <mergeCell ref="A43:J43"/>
    <mergeCell ref="A44:I44"/>
    <mergeCell ref="A45:J45"/>
    <mergeCell ref="A46:J46"/>
    <mergeCell ref="A47:J47"/>
    <mergeCell ref="A48:J48"/>
    <mergeCell ref="A49:J49"/>
    <mergeCell ref="A50:J50"/>
    <mergeCell ref="B51:G51"/>
    <mergeCell ref="H51:J51"/>
    <mergeCell ref="B52:G52"/>
    <mergeCell ref="H52:J52"/>
    <mergeCell ref="B53:G53"/>
    <mergeCell ref="H53:J53"/>
    <mergeCell ref="B54:G54"/>
    <mergeCell ref="H54:J54"/>
    <mergeCell ref="B55:G55"/>
    <mergeCell ref="H55:J55"/>
    <mergeCell ref="A56:J56"/>
    <mergeCell ref="A57:J57"/>
    <mergeCell ref="A58:J58"/>
    <mergeCell ref="A59:J59"/>
    <mergeCell ref="B60:G60"/>
    <mergeCell ref="H60:I60"/>
    <mergeCell ref="B61:I61"/>
    <mergeCell ref="B62:I62"/>
    <mergeCell ref="B63:H63"/>
    <mergeCell ref="B64:I64"/>
    <mergeCell ref="B65:I65"/>
    <mergeCell ref="B66:I66"/>
    <mergeCell ref="B67:I67"/>
    <mergeCell ref="A68:I68"/>
    <mergeCell ref="A69:J69"/>
    <mergeCell ref="A70:J70"/>
    <mergeCell ref="A71:J71"/>
    <mergeCell ref="A72:J72"/>
    <mergeCell ref="A73:J73"/>
    <mergeCell ref="B74:I74"/>
    <mergeCell ref="B75:I75"/>
    <mergeCell ref="B76:I76"/>
    <mergeCell ref="A77:I77"/>
    <mergeCell ref="B78:I78"/>
    <mergeCell ref="A79:I79"/>
    <mergeCell ref="A80:J80"/>
    <mergeCell ref="A81:J81"/>
    <mergeCell ref="A82:J82"/>
    <mergeCell ref="A83:J83"/>
    <mergeCell ref="B84:H84"/>
    <mergeCell ref="B85:H85"/>
    <mergeCell ref="B86:H86"/>
    <mergeCell ref="B87:D87"/>
    <mergeCell ref="B88:H88"/>
    <mergeCell ref="B89:H89"/>
    <mergeCell ref="B90:H90"/>
    <mergeCell ref="B91:H91"/>
    <mergeCell ref="B92:H92"/>
    <mergeCell ref="A93:H93"/>
    <mergeCell ref="A94:J94"/>
    <mergeCell ref="A95:J95"/>
    <mergeCell ref="A96:J96"/>
    <mergeCell ref="A97:J97"/>
    <mergeCell ref="B98:I98"/>
    <mergeCell ref="B99:I99"/>
    <mergeCell ref="B100:H100"/>
    <mergeCell ref="B101:H101"/>
    <mergeCell ref="B102:H102"/>
    <mergeCell ref="B103:I103"/>
    <mergeCell ref="B104:H104"/>
    <mergeCell ref="B105:H105"/>
    <mergeCell ref="B106:H106"/>
    <mergeCell ref="B107:I107"/>
    <mergeCell ref="B108:I108"/>
    <mergeCell ref="B109:I109"/>
    <mergeCell ref="B110:I110"/>
    <mergeCell ref="B111:I111"/>
    <mergeCell ref="A112:I112"/>
    <mergeCell ref="A113:J113"/>
    <mergeCell ref="A114:J114"/>
    <mergeCell ref="A115:J115"/>
    <mergeCell ref="A116:J116"/>
    <mergeCell ref="B117:I117"/>
    <mergeCell ref="B118:I118"/>
    <mergeCell ref="B119:I119"/>
    <mergeCell ref="B120:I120"/>
    <mergeCell ref="A121:I121"/>
    <mergeCell ref="A122:J122"/>
    <mergeCell ref="A123:J123"/>
    <mergeCell ref="B124:I124"/>
    <mergeCell ref="B125:I125"/>
    <mergeCell ref="B126:I126"/>
    <mergeCell ref="B127:I127"/>
    <mergeCell ref="B128:I128"/>
    <mergeCell ref="B129:I129"/>
    <mergeCell ref="B130:I130"/>
    <mergeCell ref="A131:I131"/>
    <mergeCell ref="A132:J132"/>
    <mergeCell ref="A133:J133"/>
    <mergeCell ref="A134:J134"/>
    <mergeCell ref="A135:I135"/>
    <mergeCell ref="A136:J136"/>
    <mergeCell ref="B137:I137"/>
    <mergeCell ref="B138:I138"/>
    <mergeCell ref="B139:I139"/>
    <mergeCell ref="B140:I140"/>
    <mergeCell ref="B141:I141"/>
    <mergeCell ref="B142:I142"/>
    <mergeCell ref="B143:I143"/>
    <mergeCell ref="A144:I144"/>
    <mergeCell ref="B145:I145"/>
    <mergeCell ref="A146:I146"/>
    <mergeCell ref="A147:J147"/>
    <mergeCell ref="A148:J148"/>
    <mergeCell ref="A149:J149"/>
    <mergeCell ref="B150:I150"/>
    <mergeCell ref="B151:I151"/>
    <mergeCell ref="A152:I152"/>
    <mergeCell ref="B153:I153"/>
    <mergeCell ref="A154:I154"/>
    <mergeCell ref="A155:J155"/>
    <mergeCell ref="A156:J156"/>
    <mergeCell ref="A157:J157"/>
    <mergeCell ref="A158:J158"/>
    <mergeCell ref="B159:I159"/>
    <mergeCell ref="B160:I160"/>
    <mergeCell ref="B161:I161"/>
    <mergeCell ref="A162:I162"/>
    <mergeCell ref="A163:J163"/>
    <mergeCell ref="A164:J164"/>
    <mergeCell ref="B165:I165"/>
    <mergeCell ref="B166:I166"/>
    <mergeCell ref="B167:I167"/>
    <mergeCell ref="B168:I168"/>
    <mergeCell ref="B169:I169"/>
    <mergeCell ref="A170:I170"/>
    <mergeCell ref="A171:J171"/>
    <mergeCell ref="A172:J172"/>
    <mergeCell ref="A173:J173"/>
    <mergeCell ref="A174:J174"/>
    <mergeCell ref="B175:H175"/>
    <mergeCell ref="A176:H176"/>
    <mergeCell ref="B177:H177"/>
    <mergeCell ref="A178:H178"/>
    <mergeCell ref="B179:H179"/>
    <mergeCell ref="A180:H180"/>
    <mergeCell ref="B181:H181"/>
    <mergeCell ref="L181:M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A190:I190"/>
    <mergeCell ref="A191:J191"/>
    <mergeCell ref="A192:H192"/>
    <mergeCell ref="D193:J193"/>
    <mergeCell ref="D194:J194"/>
    <mergeCell ref="D195:J195"/>
    <mergeCell ref="A196:J196"/>
    <mergeCell ref="A197:J197"/>
    <mergeCell ref="A198:J198"/>
    <mergeCell ref="A199:J199"/>
    <mergeCell ref="A200:I200"/>
    <mergeCell ref="B201:I201"/>
    <mergeCell ref="B202:I202"/>
    <mergeCell ref="B203:I203"/>
    <mergeCell ref="B204:I204"/>
    <mergeCell ref="B205:I205"/>
    <mergeCell ref="A206:I206"/>
    <mergeCell ref="B207:I207"/>
    <mergeCell ref="A208:I208"/>
    <mergeCell ref="A209:J209"/>
    <mergeCell ref="A210:J210"/>
    <mergeCell ref="A211:J211"/>
    <mergeCell ref="A212:C212"/>
    <mergeCell ref="D212:F212"/>
    <mergeCell ref="G212:H212"/>
    <mergeCell ref="I212:J212"/>
    <mergeCell ref="A213:C213"/>
    <mergeCell ref="G213:H213"/>
    <mergeCell ref="I213:J213"/>
    <mergeCell ref="A214:C214"/>
    <mergeCell ref="E214:F214"/>
    <mergeCell ref="G214:H214"/>
    <mergeCell ref="I214:J214"/>
    <mergeCell ref="A215:H215"/>
    <mergeCell ref="I215:J215"/>
    <mergeCell ref="A216:J216"/>
    <mergeCell ref="A217:C217"/>
    <mergeCell ref="G217:H217"/>
    <mergeCell ref="I217:J217"/>
    <mergeCell ref="A218:C218"/>
    <mergeCell ref="E218:F218"/>
    <mergeCell ref="G218:H218"/>
    <mergeCell ref="I218:J218"/>
    <mergeCell ref="A219:H219"/>
    <mergeCell ref="I219:J219"/>
    <mergeCell ref="A220:J220"/>
    <mergeCell ref="A221:C221"/>
    <mergeCell ref="G221:H221"/>
    <mergeCell ref="I221:J221"/>
    <mergeCell ref="A222:C222"/>
    <mergeCell ref="E222:F222"/>
    <mergeCell ref="G222:H222"/>
    <mergeCell ref="I222:J222"/>
    <mergeCell ref="A223:H223"/>
    <mergeCell ref="I223:J223"/>
    <mergeCell ref="A224:J224"/>
    <mergeCell ref="A225:C225"/>
    <mergeCell ref="G225:H225"/>
    <mergeCell ref="I225:J225"/>
    <mergeCell ref="A226:C226"/>
    <mergeCell ref="E226:F226"/>
    <mergeCell ref="G226:H226"/>
    <mergeCell ref="I226:J226"/>
    <mergeCell ref="A227:H227"/>
    <mergeCell ref="I227:J227"/>
    <mergeCell ref="A228:J228"/>
    <mergeCell ref="A229:C229"/>
    <mergeCell ref="G229:H229"/>
    <mergeCell ref="I229:J229"/>
    <mergeCell ref="A230:C230"/>
    <mergeCell ref="E230:F230"/>
    <mergeCell ref="G230:H230"/>
    <mergeCell ref="I230:J230"/>
    <mergeCell ref="A231:H231"/>
    <mergeCell ref="I231:J231"/>
    <mergeCell ref="A232:J232"/>
    <mergeCell ref="A233:C233"/>
    <mergeCell ref="G233:H233"/>
    <mergeCell ref="I233:J233"/>
    <mergeCell ref="A234:C234"/>
    <mergeCell ref="E234:F234"/>
    <mergeCell ref="G234:H234"/>
    <mergeCell ref="I234:J234"/>
    <mergeCell ref="A235:H235"/>
    <mergeCell ref="I235:J235"/>
    <mergeCell ref="A236:J236"/>
    <mergeCell ref="A237:C237"/>
    <mergeCell ref="G237:H237"/>
    <mergeCell ref="I237:J237"/>
    <mergeCell ref="A238:C238"/>
    <mergeCell ref="E238:F238"/>
    <mergeCell ref="G238:H238"/>
    <mergeCell ref="I238:J238"/>
    <mergeCell ref="A239:H239"/>
    <mergeCell ref="I239:J239"/>
    <mergeCell ref="A240:J240"/>
    <mergeCell ref="A241:J241"/>
    <mergeCell ref="A242:J242"/>
    <mergeCell ref="A243:J243"/>
    <mergeCell ref="A244:C244"/>
    <mergeCell ref="D244:F244"/>
    <mergeCell ref="G244:H244"/>
    <mergeCell ref="I244:J244"/>
    <mergeCell ref="A245:C245"/>
    <mergeCell ref="G245:H245"/>
    <mergeCell ref="I245:J245"/>
    <mergeCell ref="A246:C246"/>
    <mergeCell ref="E246:F246"/>
    <mergeCell ref="G246:H246"/>
    <mergeCell ref="I246:J246"/>
    <mergeCell ref="A247:H247"/>
    <mergeCell ref="I247:J247"/>
    <mergeCell ref="A248:J248"/>
    <mergeCell ref="A249:C249"/>
    <mergeCell ref="G249:H249"/>
    <mergeCell ref="I249:J249"/>
    <mergeCell ref="A250:C250"/>
    <mergeCell ref="E250:F250"/>
    <mergeCell ref="G250:H250"/>
    <mergeCell ref="I250:J250"/>
    <mergeCell ref="A251:H251"/>
    <mergeCell ref="I251:J251"/>
    <mergeCell ref="A252:J252"/>
    <mergeCell ref="A253:C253"/>
    <mergeCell ref="G253:H253"/>
    <mergeCell ref="I253:J253"/>
    <mergeCell ref="A254:C254"/>
    <mergeCell ref="E254:F254"/>
    <mergeCell ref="G254:H254"/>
    <mergeCell ref="I254:J254"/>
    <mergeCell ref="A255:H255"/>
    <mergeCell ref="I255:J255"/>
    <mergeCell ref="A256:J256"/>
    <mergeCell ref="A257:C257"/>
    <mergeCell ref="G257:H257"/>
    <mergeCell ref="I257:J257"/>
    <mergeCell ref="A258:C258"/>
    <mergeCell ref="E258:F258"/>
    <mergeCell ref="G258:H258"/>
    <mergeCell ref="I258:J258"/>
    <mergeCell ref="A259:H259"/>
    <mergeCell ref="I259:J259"/>
    <mergeCell ref="A260:J260"/>
    <mergeCell ref="A261:C261"/>
    <mergeCell ref="G261:H261"/>
    <mergeCell ref="I261:J261"/>
    <mergeCell ref="A262:C262"/>
    <mergeCell ref="E262:F262"/>
    <mergeCell ref="G262:H262"/>
    <mergeCell ref="I262:J262"/>
    <mergeCell ref="A263:H263"/>
    <mergeCell ref="I263:J263"/>
    <mergeCell ref="A264:J264"/>
    <mergeCell ref="A265:C265"/>
    <mergeCell ref="G265:H265"/>
    <mergeCell ref="I265:J265"/>
    <mergeCell ref="A266:C266"/>
    <mergeCell ref="E266:F266"/>
    <mergeCell ref="G266:H266"/>
    <mergeCell ref="I266:J266"/>
    <mergeCell ref="A267:H267"/>
    <mergeCell ref="I267:J267"/>
    <mergeCell ref="A268:J268"/>
    <mergeCell ref="A269:J269"/>
    <mergeCell ref="A270:J270"/>
    <mergeCell ref="A271:J271"/>
    <mergeCell ref="B272:D272"/>
    <mergeCell ref="F272:G272"/>
    <mergeCell ref="C274:D274"/>
    <mergeCell ref="A275:I275"/>
    <mergeCell ref="A276:J276"/>
    <mergeCell ref="C278:D278"/>
    <mergeCell ref="A279:I279"/>
    <mergeCell ref="A280:J280"/>
    <mergeCell ref="C282:D282"/>
    <mergeCell ref="A283:I283"/>
    <mergeCell ref="A284:J284"/>
    <mergeCell ref="A285:J285"/>
    <mergeCell ref="A286:J286"/>
    <mergeCell ref="A287:J287"/>
    <mergeCell ref="B288:D288"/>
    <mergeCell ref="F288:G288"/>
    <mergeCell ref="C290:D290"/>
    <mergeCell ref="A291:I291"/>
    <mergeCell ref="A292:J292"/>
    <mergeCell ref="A293:J293"/>
    <mergeCell ref="A294:J294"/>
    <mergeCell ref="A297:C297"/>
    <mergeCell ref="D297:F297"/>
    <mergeCell ref="G297:H297"/>
    <mergeCell ref="I297:J297"/>
    <mergeCell ref="A298:C298"/>
    <mergeCell ref="G298:H298"/>
    <mergeCell ref="I298:J298"/>
    <mergeCell ref="A299:C299"/>
    <mergeCell ref="E299:F299"/>
    <mergeCell ref="G299:H299"/>
    <mergeCell ref="I299:J299"/>
    <mergeCell ref="A300:H300"/>
    <mergeCell ref="I300:J300"/>
    <mergeCell ref="A301:J301"/>
    <mergeCell ref="A302:J302"/>
    <mergeCell ref="A303:J303"/>
    <mergeCell ref="A304:J304"/>
    <mergeCell ref="A305:J305"/>
    <mergeCell ref="A306:E306"/>
    <mergeCell ref="F306:G306"/>
    <mergeCell ref="I306:J306"/>
    <mergeCell ref="A307:E307"/>
    <mergeCell ref="F307:G307"/>
    <mergeCell ref="I307:J307"/>
    <mergeCell ref="A308:E308"/>
    <mergeCell ref="F308:G308"/>
    <mergeCell ref="I308:J308"/>
    <mergeCell ref="A309:E309"/>
    <mergeCell ref="F309:G309"/>
    <mergeCell ref="I309:J309"/>
    <mergeCell ref="A310:E310"/>
    <mergeCell ref="F310:G310"/>
    <mergeCell ref="I310:J310"/>
    <mergeCell ref="A311:E311"/>
    <mergeCell ref="F311:G311"/>
    <mergeCell ref="I311:J311"/>
    <mergeCell ref="A312:E312"/>
    <mergeCell ref="F312:G312"/>
    <mergeCell ref="I312:J312"/>
    <mergeCell ref="A313:E313"/>
    <mergeCell ref="F313:G313"/>
    <mergeCell ref="I313:J313"/>
    <mergeCell ref="A314:G314"/>
    <mergeCell ref="I314:J314"/>
    <mergeCell ref="A315:J315"/>
    <mergeCell ref="A316:E316"/>
    <mergeCell ref="F316:G316"/>
    <mergeCell ref="I316:J316"/>
    <mergeCell ref="A317:E317"/>
    <mergeCell ref="F317:G317"/>
    <mergeCell ref="I317:J317"/>
    <mergeCell ref="A318:E318"/>
    <mergeCell ref="F318:G318"/>
    <mergeCell ref="I318:J318"/>
    <mergeCell ref="A319:E319"/>
    <mergeCell ref="F319:G319"/>
    <mergeCell ref="I319:J319"/>
    <mergeCell ref="A320:E320"/>
    <mergeCell ref="F320:G320"/>
    <mergeCell ref="I320:J320"/>
    <mergeCell ref="A321:E321"/>
    <mergeCell ref="F321:G321"/>
    <mergeCell ref="I321:J321"/>
    <mergeCell ref="A322:G322"/>
    <mergeCell ref="I322:J322"/>
    <mergeCell ref="A323:J323"/>
    <mergeCell ref="A324:E324"/>
    <mergeCell ref="F324:G324"/>
    <mergeCell ref="I324:J324"/>
    <mergeCell ref="A325:E325"/>
    <mergeCell ref="F325:G325"/>
    <mergeCell ref="I325:J325"/>
    <mergeCell ref="A326:E326"/>
    <mergeCell ref="F326:G326"/>
    <mergeCell ref="I326:J326"/>
    <mergeCell ref="A327:G327"/>
    <mergeCell ref="I327:J327"/>
    <mergeCell ref="A328:J328"/>
    <mergeCell ref="A329:E329"/>
    <mergeCell ref="F329:G329"/>
    <mergeCell ref="I329:J329"/>
    <mergeCell ref="A330:G330"/>
    <mergeCell ref="I330:J330"/>
    <mergeCell ref="A331:J331"/>
    <mergeCell ref="A332:E332"/>
    <mergeCell ref="F332:G332"/>
    <mergeCell ref="I332:J332"/>
    <mergeCell ref="A333:G333"/>
    <mergeCell ref="I333:J333"/>
    <mergeCell ref="A334:J334"/>
    <mergeCell ref="A335:G335"/>
    <mergeCell ref="I335:J335"/>
    <mergeCell ref="A336:G336"/>
    <mergeCell ref="I336:J336"/>
    <mergeCell ref="A337:J337"/>
    <mergeCell ref="A338:G338"/>
    <mergeCell ref="I338:J338"/>
    <mergeCell ref="A339:J339"/>
    <mergeCell ref="A340:H340"/>
    <mergeCell ref="I340:J340"/>
    <mergeCell ref="A341:J341"/>
    <mergeCell ref="A342:H342"/>
    <mergeCell ref="I342:J342"/>
    <mergeCell ref="A343:J343"/>
    <mergeCell ref="A344:H344"/>
    <mergeCell ref="I344:J344"/>
    <mergeCell ref="A345:J345"/>
    <mergeCell ref="A346:J346"/>
    <mergeCell ref="A347:F347"/>
    <mergeCell ref="G347:J347"/>
    <mergeCell ref="A348:F348"/>
    <mergeCell ref="G348:J348"/>
    <mergeCell ref="A349:F349"/>
    <mergeCell ref="G349:J349"/>
    <mergeCell ref="A350:J350"/>
    <mergeCell ref="A351:J351"/>
    <mergeCell ref="A352:I352"/>
    <mergeCell ref="A353:I353"/>
    <mergeCell ref="A354:I354"/>
    <mergeCell ref="A355:I355"/>
    <mergeCell ref="A193:C195"/>
    <mergeCell ref="A295:J296"/>
  </mergeCells>
  <printOptions horizontalCentered="1"/>
  <pageMargins left="0.393055555555556" right="0.393055555555556" top="0.393055555555556" bottom="0.393055555555556" header="0.511805555555556" footer="0.511805555555556"/>
  <pageSetup paperSize="9" scale="75" orientation="portrait" horizontalDpi="300" verticalDpi="300"/>
  <headerFooter alignWithMargins="0"/>
  <rowBreaks count="7" manualBreakCount="7">
    <brk id="58" max="16383" man="1"/>
    <brk id="131" max="9" man="1"/>
    <brk id="164" max="16383" man="1"/>
    <brk id="215" max="16383" man="1"/>
    <brk id="263" max="16383" man="1"/>
    <brk id="293" max="16383" man="1"/>
    <brk id="334" max="16383" man="1"/>
  </rowBreak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7" tint="-0.249977111117893"/>
  </sheetPr>
  <dimension ref="A1:N213"/>
  <sheetViews>
    <sheetView workbookViewId="0">
      <selection activeCell="B91" sqref="B91:I91"/>
    </sheetView>
  </sheetViews>
  <sheetFormatPr defaultColWidth="9.14285714285714" defaultRowHeight="12.75"/>
  <cols>
    <col min="1" max="2" width="9.14285714285714" style="54"/>
    <col min="3" max="3" width="17.2857142857143" style="54" customWidth="1"/>
    <col min="4" max="7" width="9.14285714285714" style="54"/>
    <col min="8" max="8" width="12.5714285714286" style="54" customWidth="1"/>
    <col min="9" max="9" width="15.8571428571429" style="54" customWidth="1"/>
    <col min="10" max="10" width="21.8571428571429" style="54" customWidth="1"/>
    <col min="11" max="16384" width="9.14285714285714" style="54"/>
  </cols>
  <sheetData>
    <row r="1" ht="23.25" spans="1:10">
      <c r="A1" s="55" t="s">
        <v>566</v>
      </c>
      <c r="B1" s="56"/>
      <c r="C1" s="56"/>
      <c r="D1" s="56"/>
      <c r="E1" s="56"/>
      <c r="F1" s="56"/>
      <c r="G1" s="56"/>
      <c r="H1" s="56"/>
      <c r="I1" s="56"/>
      <c r="J1" s="56"/>
    </row>
    <row r="2" ht="81.75" customHeight="1" spans="1:10">
      <c r="A2" s="57" t="s">
        <v>567</v>
      </c>
      <c r="B2" s="58"/>
      <c r="C2" s="58"/>
      <c r="D2" s="58"/>
      <c r="E2" s="58"/>
      <c r="F2" s="58"/>
      <c r="G2" s="58"/>
      <c r="H2" s="58"/>
      <c r="I2" s="58"/>
      <c r="J2" s="101"/>
    </row>
    <row r="3" ht="54.75" customHeight="1" spans="1:10">
      <c r="A3" s="59" t="s">
        <v>568</v>
      </c>
      <c r="B3" s="60"/>
      <c r="C3" s="60"/>
      <c r="D3" s="61"/>
      <c r="E3" s="62" t="s">
        <v>569</v>
      </c>
      <c r="F3" s="63"/>
      <c r="G3" s="63"/>
      <c r="H3" s="63"/>
      <c r="I3" s="63"/>
      <c r="J3" s="102"/>
    </row>
    <row r="4" spans="1:10">
      <c r="A4" s="64" t="s">
        <v>256</v>
      </c>
      <c r="B4" s="64"/>
      <c r="C4" s="64"/>
      <c r="D4" s="64"/>
      <c r="E4" s="64"/>
      <c r="F4" s="64"/>
      <c r="G4" s="64"/>
      <c r="H4" s="65" t="s">
        <v>257</v>
      </c>
      <c r="I4" s="65"/>
      <c r="J4" s="65"/>
    </row>
    <row r="5" spans="1:10">
      <c r="A5" s="64" t="s">
        <v>258</v>
      </c>
      <c r="B5" s="64"/>
      <c r="C5" s="64"/>
      <c r="D5" s="64"/>
      <c r="E5" s="64"/>
      <c r="F5" s="64"/>
      <c r="G5" s="64"/>
      <c r="H5" s="65" t="s">
        <v>259</v>
      </c>
      <c r="I5" s="65"/>
      <c r="J5" s="65"/>
    </row>
    <row r="6" spans="1:10">
      <c r="A6" s="64" t="s">
        <v>570</v>
      </c>
      <c r="B6" s="64"/>
      <c r="C6" s="64"/>
      <c r="D6" s="64"/>
      <c r="E6" s="64"/>
      <c r="F6" s="64"/>
      <c r="G6" s="64"/>
      <c r="H6" s="64"/>
      <c r="I6" s="64"/>
      <c r="J6" s="64"/>
    </row>
    <row r="7" ht="15" spans="1:10">
      <c r="A7" s="66" t="s">
        <v>261</v>
      </c>
      <c r="B7" s="66"/>
      <c r="C7" s="66"/>
      <c r="D7" s="66"/>
      <c r="E7" s="66"/>
      <c r="F7" s="66"/>
      <c r="G7" s="66"/>
      <c r="H7" s="66"/>
      <c r="I7" s="66"/>
      <c r="J7" s="66"/>
    </row>
    <row r="8" spans="1:14">
      <c r="A8" s="67" t="s">
        <v>262</v>
      </c>
      <c r="B8" s="64" t="s">
        <v>263</v>
      </c>
      <c r="C8" s="64"/>
      <c r="D8" s="64"/>
      <c r="E8" s="64"/>
      <c r="F8" s="64"/>
      <c r="G8" s="64"/>
      <c r="H8" s="68"/>
      <c r="I8" s="68"/>
      <c r="J8" s="68"/>
      <c r="N8" s="103"/>
    </row>
    <row r="9" spans="1:10">
      <c r="A9" s="67" t="s">
        <v>264</v>
      </c>
      <c r="B9" s="64" t="s">
        <v>265</v>
      </c>
      <c r="C9" s="64"/>
      <c r="D9" s="64"/>
      <c r="E9" s="64"/>
      <c r="F9" s="64"/>
      <c r="G9" s="64"/>
      <c r="H9" s="68" t="s">
        <v>571</v>
      </c>
      <c r="I9" s="68"/>
      <c r="J9" s="68"/>
    </row>
    <row r="10" spans="1:10">
      <c r="A10" s="67" t="s">
        <v>266</v>
      </c>
      <c r="B10" s="64" t="s">
        <v>267</v>
      </c>
      <c r="C10" s="64"/>
      <c r="D10" s="64"/>
      <c r="E10" s="64"/>
      <c r="F10" s="64"/>
      <c r="G10" s="64"/>
      <c r="H10" s="68"/>
      <c r="I10" s="68"/>
      <c r="J10" s="68"/>
    </row>
    <row r="11" spans="1:10">
      <c r="A11" s="67" t="s">
        <v>268</v>
      </c>
      <c r="B11" s="64" t="s">
        <v>269</v>
      </c>
      <c r="C11" s="64"/>
      <c r="D11" s="64"/>
      <c r="E11" s="64"/>
      <c r="F11" s="64"/>
      <c r="G11" s="64"/>
      <c r="H11" s="65">
        <v>20</v>
      </c>
      <c r="I11" s="65"/>
      <c r="J11" s="65"/>
    </row>
    <row r="12" ht="15" spans="1:10">
      <c r="A12" s="69" t="s">
        <v>270</v>
      </c>
      <c r="B12" s="69"/>
      <c r="C12" s="69"/>
      <c r="D12" s="69"/>
      <c r="E12" s="69"/>
      <c r="F12" s="69"/>
      <c r="G12" s="69"/>
      <c r="H12" s="69"/>
      <c r="I12" s="69"/>
      <c r="J12" s="69"/>
    </row>
    <row r="13" spans="1:10">
      <c r="A13" s="70" t="s">
        <v>271</v>
      </c>
      <c r="B13" s="70"/>
      <c r="C13" s="70"/>
      <c r="D13" s="70"/>
      <c r="E13" s="70"/>
      <c r="F13" s="70"/>
      <c r="G13" s="70" t="s">
        <v>272</v>
      </c>
      <c r="H13" s="70"/>
      <c r="I13" s="104" t="s">
        <v>572</v>
      </c>
      <c r="J13" s="104"/>
    </row>
    <row r="14" spans="1:10">
      <c r="A14" s="71" t="s">
        <v>573</v>
      </c>
      <c r="B14" s="71"/>
      <c r="C14" s="71"/>
      <c r="D14" s="71" t="s">
        <v>281</v>
      </c>
      <c r="E14" s="71" t="s">
        <v>282</v>
      </c>
      <c r="F14" s="71" t="s">
        <v>283</v>
      </c>
      <c r="G14" s="72" t="s">
        <v>275</v>
      </c>
      <c r="H14" s="72"/>
      <c r="I14" s="105">
        <v>0</v>
      </c>
      <c r="J14" s="106"/>
    </row>
    <row r="15" spans="1:10">
      <c r="A15" s="73" t="s">
        <v>285</v>
      </c>
      <c r="B15" s="73"/>
      <c r="C15" s="73"/>
      <c r="D15" s="73"/>
      <c r="E15" s="73"/>
      <c r="F15" s="73"/>
      <c r="G15" s="73"/>
      <c r="H15" s="73"/>
      <c r="I15" s="107">
        <v>0</v>
      </c>
      <c r="J15" s="107"/>
    </row>
    <row r="16" spans="1:10">
      <c r="A16" s="74" t="s">
        <v>301</v>
      </c>
      <c r="B16" s="74"/>
      <c r="C16" s="74"/>
      <c r="D16" s="74"/>
      <c r="E16" s="74"/>
      <c r="F16" s="74"/>
      <c r="G16" s="74"/>
      <c r="H16" s="75" t="s">
        <v>275</v>
      </c>
      <c r="I16" s="75"/>
      <c r="J16" s="108">
        <v>0</v>
      </c>
    </row>
    <row r="17" spans="1:10">
      <c r="A17" s="76" t="s">
        <v>302</v>
      </c>
      <c r="B17" s="76"/>
      <c r="C17" s="76"/>
      <c r="D17" s="76"/>
      <c r="E17" s="76"/>
      <c r="F17" s="76"/>
      <c r="G17" s="76"/>
      <c r="H17" s="76"/>
      <c r="I17" s="76"/>
      <c r="J17" s="107">
        <v>0</v>
      </c>
    </row>
    <row r="18" spans="1:10">
      <c r="A18" s="77"/>
      <c r="B18" s="77"/>
      <c r="C18" s="77"/>
      <c r="D18" s="77"/>
      <c r="E18" s="77"/>
      <c r="F18" s="77"/>
      <c r="G18" s="77"/>
      <c r="H18" s="77"/>
      <c r="I18" s="77"/>
      <c r="J18" s="77"/>
    </row>
    <row r="19" spans="1:10">
      <c r="A19" s="78" t="s">
        <v>303</v>
      </c>
      <c r="B19" s="78"/>
      <c r="C19" s="78"/>
      <c r="D19" s="78"/>
      <c r="E19" s="78"/>
      <c r="F19" s="78"/>
      <c r="G19" s="78"/>
      <c r="H19" s="78"/>
      <c r="I19" s="78"/>
      <c r="J19" s="109">
        <f>I15+J17</f>
        <v>0</v>
      </c>
    </row>
    <row r="20" spans="1:14">
      <c r="A20" s="77"/>
      <c r="B20" s="77"/>
      <c r="C20" s="77"/>
      <c r="D20" s="77"/>
      <c r="E20" s="77"/>
      <c r="F20" s="77"/>
      <c r="G20" s="77"/>
      <c r="H20" s="77"/>
      <c r="I20" s="77"/>
      <c r="J20" s="77"/>
      <c r="N20" s="110"/>
    </row>
    <row r="21" spans="1:10">
      <c r="A21" s="79" t="s">
        <v>304</v>
      </c>
      <c r="B21" s="79"/>
      <c r="C21" s="79"/>
      <c r="D21" s="79"/>
      <c r="E21" s="79"/>
      <c r="F21" s="79"/>
      <c r="G21" s="79"/>
      <c r="H21" s="79"/>
      <c r="I21" s="79"/>
      <c r="J21" s="79"/>
    </row>
    <row r="22" spans="1:10">
      <c r="A22" s="77"/>
      <c r="B22" s="77"/>
      <c r="C22" s="77"/>
      <c r="D22" s="77"/>
      <c r="E22" s="77"/>
      <c r="F22" s="77"/>
      <c r="G22" s="77"/>
      <c r="H22" s="77"/>
      <c r="I22" s="77"/>
      <c r="J22" s="77"/>
    </row>
    <row r="23" ht="19.5" spans="1:10">
      <c r="A23" s="80" t="s">
        <v>305</v>
      </c>
      <c r="B23" s="80"/>
      <c r="C23" s="80"/>
      <c r="D23" s="80"/>
      <c r="E23" s="80"/>
      <c r="F23" s="80"/>
      <c r="G23" s="80"/>
      <c r="H23" s="80"/>
      <c r="I23" s="80"/>
      <c r="J23" s="80"/>
    </row>
    <row r="24" spans="1:10">
      <c r="A24" s="77"/>
      <c r="B24" s="77"/>
      <c r="C24" s="77"/>
      <c r="D24" s="77"/>
      <c r="E24" s="77"/>
      <c r="F24" s="77"/>
      <c r="G24" s="77"/>
      <c r="H24" s="77"/>
      <c r="I24" s="77"/>
      <c r="J24" s="77"/>
    </row>
    <row r="25" ht="15" spans="1:10">
      <c r="A25" s="81" t="s">
        <v>306</v>
      </c>
      <c r="B25" s="81"/>
      <c r="C25" s="81"/>
      <c r="D25" s="81"/>
      <c r="E25" s="81"/>
      <c r="F25" s="81"/>
      <c r="G25" s="81"/>
      <c r="H25" s="81"/>
      <c r="I25" s="81"/>
      <c r="J25" s="81"/>
    </row>
    <row r="26" ht="15" spans="1:10">
      <c r="A26" s="67">
        <v>1</v>
      </c>
      <c r="B26" s="64" t="s">
        <v>307</v>
      </c>
      <c r="C26" s="64"/>
      <c r="D26" s="64"/>
      <c r="E26" s="64"/>
      <c r="F26" s="64"/>
      <c r="G26" s="64"/>
      <c r="H26" s="82" t="s">
        <v>308</v>
      </c>
      <c r="I26" s="82"/>
      <c r="J26" s="82"/>
    </row>
    <row r="27" ht="15" spans="1:10">
      <c r="A27" s="67">
        <v>2</v>
      </c>
      <c r="B27" s="64" t="s">
        <v>309</v>
      </c>
      <c r="C27" s="64"/>
      <c r="D27" s="64"/>
      <c r="E27" s="64"/>
      <c r="F27" s="64"/>
      <c r="G27" s="64"/>
      <c r="H27" s="82">
        <v>5143</v>
      </c>
      <c r="I27" s="82"/>
      <c r="J27" s="82"/>
    </row>
    <row r="28" ht="15" spans="1:10">
      <c r="A28" s="67">
        <v>3</v>
      </c>
      <c r="B28" s="64" t="s">
        <v>310</v>
      </c>
      <c r="C28" s="64"/>
      <c r="D28" s="64"/>
      <c r="E28" s="64"/>
      <c r="F28" s="64"/>
      <c r="G28" s="64"/>
      <c r="H28" s="83">
        <v>1083.96</v>
      </c>
      <c r="I28" s="83"/>
      <c r="J28" s="83"/>
    </row>
    <row r="29" ht="15" spans="1:10">
      <c r="A29" s="67">
        <v>4</v>
      </c>
      <c r="B29" s="64" t="s">
        <v>311</v>
      </c>
      <c r="C29" s="64"/>
      <c r="D29" s="64"/>
      <c r="E29" s="64"/>
      <c r="F29" s="64"/>
      <c r="G29" s="64"/>
      <c r="H29" s="82" t="s">
        <v>312</v>
      </c>
      <c r="I29" s="82"/>
      <c r="J29" s="82"/>
    </row>
    <row r="30" ht="15" spans="1:10">
      <c r="A30" s="67">
        <v>5</v>
      </c>
      <c r="B30" s="64" t="s">
        <v>313</v>
      </c>
      <c r="C30" s="64"/>
      <c r="D30" s="64"/>
      <c r="E30" s="64"/>
      <c r="F30" s="64"/>
      <c r="G30" s="64"/>
      <c r="H30" s="84" t="str">
        <f>'[1]ABA DE CARREGAMENTO'!$B$78</f>
        <v>01 Janeiro de 2019</v>
      </c>
      <c r="I30" s="111"/>
      <c r="J30" s="111"/>
    </row>
    <row r="31" spans="1:10">
      <c r="A31" s="77"/>
      <c r="B31" s="77"/>
      <c r="C31" s="77"/>
      <c r="D31" s="77"/>
      <c r="E31" s="77"/>
      <c r="F31" s="77"/>
      <c r="G31" s="77"/>
      <c r="H31" s="77"/>
      <c r="I31" s="77"/>
      <c r="J31" s="77"/>
    </row>
    <row r="32" spans="1:10">
      <c r="A32" s="71" t="s">
        <v>314</v>
      </c>
      <c r="B32" s="71"/>
      <c r="C32" s="71"/>
      <c r="D32" s="71"/>
      <c r="E32" s="71"/>
      <c r="F32" s="71"/>
      <c r="G32" s="71"/>
      <c r="H32" s="71"/>
      <c r="I32" s="71"/>
      <c r="J32" s="71"/>
    </row>
    <row r="33" spans="1:10">
      <c r="A33" s="77"/>
      <c r="B33" s="77"/>
      <c r="C33" s="77"/>
      <c r="D33" s="77"/>
      <c r="E33" s="77"/>
      <c r="F33" s="77"/>
      <c r="G33" s="77"/>
      <c r="H33" s="77"/>
      <c r="I33" s="77"/>
      <c r="J33" s="77"/>
    </row>
    <row r="34" ht="19.5" spans="1:10">
      <c r="A34" s="80" t="s">
        <v>315</v>
      </c>
      <c r="B34" s="80"/>
      <c r="C34" s="80"/>
      <c r="D34" s="80"/>
      <c r="E34" s="80"/>
      <c r="F34" s="80"/>
      <c r="G34" s="80"/>
      <c r="H34" s="80"/>
      <c r="I34" s="80"/>
      <c r="J34" s="80"/>
    </row>
    <row r="35" ht="30" spans="1:10">
      <c r="A35" s="81">
        <v>1</v>
      </c>
      <c r="B35" s="81" t="s">
        <v>316</v>
      </c>
      <c r="C35" s="81"/>
      <c r="D35" s="81"/>
      <c r="E35" s="81"/>
      <c r="F35" s="81"/>
      <c r="G35" s="81"/>
      <c r="H35" s="81" t="s">
        <v>317</v>
      </c>
      <c r="I35" s="81"/>
      <c r="J35" s="81" t="s">
        <v>318</v>
      </c>
    </row>
    <row r="36" spans="1:10">
      <c r="A36" s="67" t="s">
        <v>262</v>
      </c>
      <c r="B36" s="64" t="s">
        <v>574</v>
      </c>
      <c r="C36" s="64"/>
      <c r="D36" s="64"/>
      <c r="E36" s="64"/>
      <c r="F36" s="64"/>
      <c r="G36" s="64"/>
      <c r="H36" s="64"/>
      <c r="I36" s="64"/>
      <c r="J36" s="112">
        <f>H28</f>
        <v>1083.96</v>
      </c>
    </row>
    <row r="37" spans="1:10">
      <c r="A37" s="67" t="s">
        <v>264</v>
      </c>
      <c r="B37" s="64" t="s">
        <v>575</v>
      </c>
      <c r="C37" s="64"/>
      <c r="D37" s="64"/>
      <c r="E37" s="64"/>
      <c r="F37" s="64"/>
      <c r="G37" s="64"/>
      <c r="H37" s="64"/>
      <c r="I37" s="64"/>
      <c r="J37" s="112"/>
    </row>
    <row r="38" spans="1:10">
      <c r="A38" s="67" t="s">
        <v>266</v>
      </c>
      <c r="B38" s="85" t="s">
        <v>576</v>
      </c>
      <c r="C38" s="85"/>
      <c r="D38" s="85"/>
      <c r="E38" s="85"/>
      <c r="F38" s="85"/>
      <c r="G38" s="85"/>
      <c r="H38" s="85"/>
      <c r="I38" s="113">
        <v>0.4</v>
      </c>
      <c r="J38" s="112">
        <f>ROUND(I38*J36,2)</f>
        <v>433.58</v>
      </c>
    </row>
    <row r="39" spans="1:10">
      <c r="A39" s="67" t="s">
        <v>325</v>
      </c>
      <c r="B39" s="64" t="s">
        <v>577</v>
      </c>
      <c r="C39" s="64"/>
      <c r="D39" s="64"/>
      <c r="E39" s="64"/>
      <c r="F39" s="64"/>
      <c r="G39" s="64"/>
      <c r="H39" s="64"/>
      <c r="I39" s="64"/>
      <c r="J39" s="114"/>
    </row>
    <row r="40" spans="1:10">
      <c r="A40" s="67" t="s">
        <v>327</v>
      </c>
      <c r="B40" s="64" t="s">
        <v>578</v>
      </c>
      <c r="C40" s="64"/>
      <c r="D40" s="64"/>
      <c r="E40" s="64"/>
      <c r="F40" s="64"/>
      <c r="G40" s="64"/>
      <c r="H40" s="64"/>
      <c r="I40" s="64"/>
      <c r="J40" s="112">
        <f>J36*0.1</f>
        <v>108.396</v>
      </c>
    </row>
    <row r="41" ht="15" spans="1:10">
      <c r="A41" s="86" t="s">
        <v>329</v>
      </c>
      <c r="B41" s="86"/>
      <c r="C41" s="86"/>
      <c r="D41" s="86"/>
      <c r="E41" s="86"/>
      <c r="F41" s="86"/>
      <c r="G41" s="86"/>
      <c r="H41" s="86"/>
      <c r="I41" s="86"/>
      <c r="J41" s="115">
        <f>SUM(J36:J40)</f>
        <v>1625.936</v>
      </c>
    </row>
    <row r="42" spans="1:10">
      <c r="A42" s="77"/>
      <c r="B42" s="77"/>
      <c r="C42" s="77"/>
      <c r="D42" s="77"/>
      <c r="E42" s="77"/>
      <c r="F42" s="77"/>
      <c r="G42" s="77"/>
      <c r="H42" s="77"/>
      <c r="I42" s="77"/>
      <c r="J42" s="77"/>
    </row>
    <row r="43" spans="1:10">
      <c r="A43" s="87" t="s">
        <v>330</v>
      </c>
      <c r="B43" s="87"/>
      <c r="C43" s="87"/>
      <c r="D43" s="87"/>
      <c r="E43" s="87"/>
      <c r="F43" s="87"/>
      <c r="G43" s="87"/>
      <c r="H43" s="87"/>
      <c r="I43" s="87"/>
      <c r="J43" s="87"/>
    </row>
    <row r="44" spans="1:10">
      <c r="A44" s="77"/>
      <c r="B44" s="77"/>
      <c r="C44" s="77"/>
      <c r="D44" s="77"/>
      <c r="E44" s="77"/>
      <c r="F44" s="77"/>
      <c r="G44" s="77"/>
      <c r="H44" s="77"/>
      <c r="I44" s="77"/>
      <c r="J44" s="77"/>
    </row>
    <row r="45" ht="15" spans="1:10">
      <c r="A45" s="88" t="s">
        <v>331</v>
      </c>
      <c r="B45" s="88"/>
      <c r="C45" s="88"/>
      <c r="D45" s="88"/>
      <c r="E45" s="88"/>
      <c r="F45" s="88"/>
      <c r="G45" s="88"/>
      <c r="H45" s="88"/>
      <c r="I45" s="88"/>
      <c r="J45" s="88"/>
    </row>
    <row r="46" ht="15" spans="1:10">
      <c r="A46" s="89" t="s">
        <v>579</v>
      </c>
      <c r="B46" s="89"/>
      <c r="C46" s="89"/>
      <c r="D46" s="89"/>
      <c r="E46" s="89"/>
      <c r="F46" s="89"/>
      <c r="G46" s="89"/>
      <c r="H46" s="89"/>
      <c r="I46" s="89"/>
      <c r="J46" s="89"/>
    </row>
    <row r="47" ht="15" spans="1:10">
      <c r="A47" s="90" t="s">
        <v>333</v>
      </c>
      <c r="B47" s="91" t="s">
        <v>580</v>
      </c>
      <c r="C47" s="91"/>
      <c r="D47" s="91"/>
      <c r="E47" s="91"/>
      <c r="F47" s="91"/>
      <c r="G47" s="91"/>
      <c r="H47" s="91"/>
      <c r="I47" s="91"/>
      <c r="J47" s="69" t="s">
        <v>335</v>
      </c>
    </row>
    <row r="48" spans="1:10">
      <c r="A48" s="92" t="s">
        <v>262</v>
      </c>
      <c r="B48" s="93" t="s">
        <v>336</v>
      </c>
      <c r="C48" s="93"/>
      <c r="D48" s="93"/>
      <c r="E48" s="93"/>
      <c r="F48" s="93"/>
      <c r="G48" s="93"/>
      <c r="H48" s="93"/>
      <c r="I48" s="93"/>
      <c r="J48" s="116">
        <f>ROUND($J$41/12,2)</f>
        <v>135.49</v>
      </c>
    </row>
    <row r="49" spans="1:10">
      <c r="A49" s="92" t="s">
        <v>264</v>
      </c>
      <c r="B49" s="93" t="s">
        <v>581</v>
      </c>
      <c r="C49" s="93"/>
      <c r="D49" s="93"/>
      <c r="E49" s="93"/>
      <c r="F49" s="93"/>
      <c r="G49" s="93"/>
      <c r="H49" s="93"/>
      <c r="I49" s="93"/>
      <c r="J49" s="116">
        <f>ROUND(($J$41/3)/12,2)</f>
        <v>45.16</v>
      </c>
    </row>
    <row r="50" spans="1:10">
      <c r="A50" s="94" t="s">
        <v>338</v>
      </c>
      <c r="B50" s="94"/>
      <c r="C50" s="94"/>
      <c r="D50" s="94"/>
      <c r="E50" s="94"/>
      <c r="F50" s="94"/>
      <c r="G50" s="94"/>
      <c r="H50" s="94"/>
      <c r="I50" s="94"/>
      <c r="J50" s="117">
        <f>SUM(J48+J49)</f>
        <v>180.65</v>
      </c>
    </row>
    <row r="51" spans="1:10">
      <c r="A51" s="95" t="s">
        <v>266</v>
      </c>
      <c r="B51" s="93" t="s">
        <v>339</v>
      </c>
      <c r="C51" s="93"/>
      <c r="D51" s="93"/>
      <c r="E51" s="93"/>
      <c r="F51" s="93"/>
      <c r="G51" s="93"/>
      <c r="H51" s="93"/>
      <c r="I51" s="93"/>
      <c r="J51" s="118">
        <f>ROUND(I66*J50,2)</f>
        <v>71.9</v>
      </c>
    </row>
    <row r="52" spans="1:10">
      <c r="A52" s="96" t="s">
        <v>338</v>
      </c>
      <c r="B52" s="96"/>
      <c r="C52" s="96"/>
      <c r="D52" s="96"/>
      <c r="E52" s="96"/>
      <c r="F52" s="96"/>
      <c r="G52" s="96"/>
      <c r="H52" s="96"/>
      <c r="I52" s="96"/>
      <c r="J52" s="119">
        <f>J50+J51</f>
        <v>252.55</v>
      </c>
    </row>
    <row r="53" spans="1:10">
      <c r="A53" s="77"/>
      <c r="B53" s="77"/>
      <c r="C53" s="77"/>
      <c r="D53" s="77"/>
      <c r="E53" s="77"/>
      <c r="F53" s="77"/>
      <c r="G53" s="77"/>
      <c r="H53" s="77"/>
      <c r="I53" s="77"/>
      <c r="J53" s="77"/>
    </row>
    <row r="54" spans="1:10">
      <c r="A54" s="79" t="s">
        <v>340</v>
      </c>
      <c r="B54" s="79"/>
      <c r="C54" s="79"/>
      <c r="D54" s="79"/>
      <c r="E54" s="79"/>
      <c r="F54" s="79"/>
      <c r="G54" s="79"/>
      <c r="H54" s="79"/>
      <c r="I54" s="79"/>
      <c r="J54" s="79"/>
    </row>
    <row r="55" spans="1:10">
      <c r="A55" s="77"/>
      <c r="B55" s="77"/>
      <c r="C55" s="77"/>
      <c r="D55" s="77"/>
      <c r="E55" s="77"/>
      <c r="F55" s="77"/>
      <c r="G55" s="77"/>
      <c r="H55" s="77"/>
      <c r="I55" s="77"/>
      <c r="J55" s="77"/>
    </row>
    <row r="56" ht="15" spans="1:10">
      <c r="A56" s="88" t="s">
        <v>341</v>
      </c>
      <c r="B56" s="88"/>
      <c r="C56" s="88"/>
      <c r="D56" s="88"/>
      <c r="E56" s="88"/>
      <c r="F56" s="88"/>
      <c r="G56" s="88"/>
      <c r="H56" s="88"/>
      <c r="I56" s="88"/>
      <c r="J56" s="88"/>
    </row>
    <row r="57" ht="30" spans="1:10">
      <c r="A57" s="97" t="s">
        <v>342</v>
      </c>
      <c r="B57" s="97" t="s">
        <v>343</v>
      </c>
      <c r="C57" s="97"/>
      <c r="D57" s="97"/>
      <c r="E57" s="97"/>
      <c r="F57" s="97"/>
      <c r="G57" s="97"/>
      <c r="H57" s="97"/>
      <c r="I57" s="81" t="s">
        <v>344</v>
      </c>
      <c r="J57" s="81" t="s">
        <v>345</v>
      </c>
    </row>
    <row r="58" spans="1:10">
      <c r="A58" s="92" t="s">
        <v>262</v>
      </c>
      <c r="B58" s="93" t="s">
        <v>346</v>
      </c>
      <c r="C58" s="93"/>
      <c r="D58" s="93"/>
      <c r="E58" s="93"/>
      <c r="F58" s="93"/>
      <c r="G58" s="93"/>
      <c r="H58" s="93"/>
      <c r="I58" s="120">
        <v>0.2</v>
      </c>
      <c r="J58" s="121">
        <f t="shared" ref="J58:J65" si="0">ROUND($J$41*I58,2)</f>
        <v>325.19</v>
      </c>
    </row>
    <row r="59" spans="1:10">
      <c r="A59" s="92" t="s">
        <v>264</v>
      </c>
      <c r="B59" s="93" t="s">
        <v>347</v>
      </c>
      <c r="C59" s="93"/>
      <c r="D59" s="93"/>
      <c r="E59" s="93"/>
      <c r="F59" s="93"/>
      <c r="G59" s="93"/>
      <c r="H59" s="93"/>
      <c r="I59" s="120">
        <v>0.025</v>
      </c>
      <c r="J59" s="121">
        <f t="shared" si="0"/>
        <v>40.65</v>
      </c>
    </row>
    <row r="60" spans="1:10">
      <c r="A60" s="92" t="s">
        <v>266</v>
      </c>
      <c r="B60" s="64" t="s">
        <v>348</v>
      </c>
      <c r="C60" s="64"/>
      <c r="D60" s="64"/>
      <c r="E60" s="98" t="s">
        <v>349</v>
      </c>
      <c r="F60" s="99">
        <f>'[1]ABA DE CARREGAMENTO'!$B$49</f>
        <v>0.03</v>
      </c>
      <c r="G60" s="98" t="s">
        <v>350</v>
      </c>
      <c r="H60" s="100">
        <f>'[1]ABA DE CARREGAMENTO'!$B$52</f>
        <v>2</v>
      </c>
      <c r="I60" s="122">
        <f>ROUND((F60*H60),6)</f>
        <v>0.06</v>
      </c>
      <c r="J60" s="121">
        <f t="shared" si="0"/>
        <v>97.56</v>
      </c>
    </row>
    <row r="61" spans="1:10">
      <c r="A61" s="92" t="s">
        <v>268</v>
      </c>
      <c r="B61" s="93" t="s">
        <v>351</v>
      </c>
      <c r="C61" s="93"/>
      <c r="D61" s="93"/>
      <c r="E61" s="93"/>
      <c r="F61" s="93"/>
      <c r="G61" s="93"/>
      <c r="H61" s="93"/>
      <c r="I61" s="120">
        <v>0.015</v>
      </c>
      <c r="J61" s="121">
        <f t="shared" si="0"/>
        <v>24.39</v>
      </c>
    </row>
    <row r="62" spans="1:10">
      <c r="A62" s="92" t="s">
        <v>323</v>
      </c>
      <c r="B62" s="93" t="s">
        <v>352</v>
      </c>
      <c r="C62" s="93"/>
      <c r="D62" s="93"/>
      <c r="E62" s="93"/>
      <c r="F62" s="93"/>
      <c r="G62" s="93"/>
      <c r="H62" s="93"/>
      <c r="I62" s="120">
        <v>0.01</v>
      </c>
      <c r="J62" s="121">
        <f t="shared" si="0"/>
        <v>16.26</v>
      </c>
    </row>
    <row r="63" spans="1:10">
      <c r="A63" s="92" t="s">
        <v>325</v>
      </c>
      <c r="B63" s="93" t="s">
        <v>353</v>
      </c>
      <c r="C63" s="93"/>
      <c r="D63" s="93"/>
      <c r="E63" s="93"/>
      <c r="F63" s="93"/>
      <c r="G63" s="93"/>
      <c r="H63" s="93"/>
      <c r="I63" s="120">
        <v>0.006</v>
      </c>
      <c r="J63" s="121">
        <f t="shared" si="0"/>
        <v>9.76</v>
      </c>
    </row>
    <row r="64" spans="1:10">
      <c r="A64" s="92" t="s">
        <v>327</v>
      </c>
      <c r="B64" s="93" t="s">
        <v>354</v>
      </c>
      <c r="C64" s="93"/>
      <c r="D64" s="93"/>
      <c r="E64" s="93"/>
      <c r="F64" s="93"/>
      <c r="G64" s="93"/>
      <c r="H64" s="93"/>
      <c r="I64" s="120">
        <v>0.002</v>
      </c>
      <c r="J64" s="121">
        <f t="shared" si="0"/>
        <v>3.25</v>
      </c>
    </row>
    <row r="65" spans="1:10">
      <c r="A65" s="92" t="s">
        <v>355</v>
      </c>
      <c r="B65" s="93" t="s">
        <v>356</v>
      </c>
      <c r="C65" s="93"/>
      <c r="D65" s="93"/>
      <c r="E65" s="93"/>
      <c r="F65" s="93"/>
      <c r="G65" s="93"/>
      <c r="H65" s="93"/>
      <c r="I65" s="120">
        <v>0.08</v>
      </c>
      <c r="J65" s="121">
        <f t="shared" si="0"/>
        <v>130.07</v>
      </c>
    </row>
    <row r="66" spans="1:10">
      <c r="A66" s="96" t="s">
        <v>338</v>
      </c>
      <c r="B66" s="96"/>
      <c r="C66" s="96"/>
      <c r="D66" s="96"/>
      <c r="E66" s="96"/>
      <c r="F66" s="96"/>
      <c r="G66" s="96"/>
      <c r="H66" s="96"/>
      <c r="I66" s="131">
        <f>SUM(I58:I65)</f>
        <v>0.398</v>
      </c>
      <c r="J66" s="119">
        <f>SUM(J58:J65)</f>
        <v>647.13</v>
      </c>
    </row>
    <row r="67" spans="1:10">
      <c r="A67" s="77"/>
      <c r="B67" s="77"/>
      <c r="C67" s="77"/>
      <c r="D67" s="77"/>
      <c r="E67" s="77"/>
      <c r="F67" s="77"/>
      <c r="G67" s="77"/>
      <c r="H67" s="77"/>
      <c r="I67" s="77"/>
      <c r="J67" s="77"/>
    </row>
    <row r="68" spans="1:10">
      <c r="A68" s="79" t="s">
        <v>582</v>
      </c>
      <c r="B68" s="79"/>
      <c r="C68" s="79"/>
      <c r="D68" s="79"/>
      <c r="E68" s="79"/>
      <c r="F68" s="79"/>
      <c r="G68" s="79"/>
      <c r="H68" s="79"/>
      <c r="I68" s="79"/>
      <c r="J68" s="79"/>
    </row>
    <row r="69" spans="1:10">
      <c r="A69" s="77"/>
      <c r="B69" s="77"/>
      <c r="C69" s="77"/>
      <c r="D69" s="77"/>
      <c r="E69" s="77"/>
      <c r="F69" s="77"/>
      <c r="G69" s="77"/>
      <c r="H69" s="77"/>
      <c r="I69" s="77"/>
      <c r="J69" s="77"/>
    </row>
    <row r="70" ht="15" spans="1:10">
      <c r="A70" s="88" t="s">
        <v>358</v>
      </c>
      <c r="B70" s="88"/>
      <c r="C70" s="88"/>
      <c r="D70" s="88"/>
      <c r="E70" s="88"/>
      <c r="F70" s="88"/>
      <c r="G70" s="88"/>
      <c r="H70" s="88"/>
      <c r="I70" s="88"/>
      <c r="J70" s="88"/>
    </row>
    <row r="71" ht="15" spans="1:10">
      <c r="A71" s="97" t="s">
        <v>359</v>
      </c>
      <c r="B71" s="97" t="s">
        <v>360</v>
      </c>
      <c r="C71" s="97"/>
      <c r="D71" s="97"/>
      <c r="E71" s="97"/>
      <c r="F71" s="97"/>
      <c r="G71" s="97"/>
      <c r="H71" s="97"/>
      <c r="I71" s="97"/>
      <c r="J71" s="81" t="s">
        <v>335</v>
      </c>
    </row>
    <row r="72" spans="1:10">
      <c r="A72" s="92" t="s">
        <v>262</v>
      </c>
      <c r="B72" s="93" t="s">
        <v>361</v>
      </c>
      <c r="C72" s="93"/>
      <c r="D72" s="93"/>
      <c r="E72" s="93"/>
      <c r="F72" s="93"/>
      <c r="G72" s="93"/>
      <c r="H72" s="93"/>
      <c r="I72" s="93"/>
      <c r="J72" s="121">
        <v>132.36</v>
      </c>
    </row>
    <row r="73" spans="1:10">
      <c r="A73" s="92"/>
      <c r="B73" s="123" t="s">
        <v>362</v>
      </c>
      <c r="C73" s="123"/>
      <c r="D73" s="123"/>
      <c r="E73" s="123"/>
      <c r="F73" s="123"/>
      <c r="G73" s="123"/>
      <c r="H73" s="123"/>
      <c r="I73" s="132">
        <v>4.7</v>
      </c>
      <c r="J73" s="133" t="s">
        <v>363</v>
      </c>
    </row>
    <row r="74" spans="1:10">
      <c r="A74" s="92"/>
      <c r="B74" s="123" t="s">
        <v>364</v>
      </c>
      <c r="C74" s="123"/>
      <c r="D74" s="123"/>
      <c r="E74" s="123"/>
      <c r="F74" s="123"/>
      <c r="G74" s="123"/>
      <c r="H74" s="123"/>
      <c r="I74" s="134">
        <f>'[1]ABA DE CARREGAMENTO'!$B$71</f>
        <v>2</v>
      </c>
      <c r="J74" s="133"/>
    </row>
    <row r="75" spans="1:10">
      <c r="A75" s="92"/>
      <c r="B75" s="123" t="s">
        <v>365</v>
      </c>
      <c r="C75" s="123"/>
      <c r="D75" s="123"/>
      <c r="E75" s="123"/>
      <c r="F75" s="123"/>
      <c r="G75" s="123"/>
      <c r="H75" s="123"/>
      <c r="I75" s="135">
        <v>21</v>
      </c>
      <c r="J75" s="133"/>
    </row>
    <row r="76" spans="1:10">
      <c r="A76" s="92" t="s">
        <v>264</v>
      </c>
      <c r="B76" s="93" t="s">
        <v>583</v>
      </c>
      <c r="C76" s="93"/>
      <c r="D76" s="93"/>
      <c r="E76" s="93"/>
      <c r="F76" s="93"/>
      <c r="G76" s="93"/>
      <c r="H76" s="93"/>
      <c r="I76" s="93"/>
      <c r="J76" s="121">
        <v>288.09</v>
      </c>
    </row>
    <row r="77" spans="1:10">
      <c r="A77" s="92"/>
      <c r="B77" s="123" t="s">
        <v>584</v>
      </c>
      <c r="C77" s="123"/>
      <c r="D77" s="123"/>
      <c r="E77" s="123"/>
      <c r="F77" s="123"/>
      <c r="G77" s="123"/>
      <c r="H77" s="123"/>
      <c r="I77" s="132">
        <f>'Aba Carregamento'!B85</f>
        <v>16.73</v>
      </c>
      <c r="J77" s="133" t="s">
        <v>363</v>
      </c>
    </row>
    <row r="78" spans="1:10">
      <c r="A78" s="124"/>
      <c r="B78" s="123" t="s">
        <v>368</v>
      </c>
      <c r="C78" s="123"/>
      <c r="D78" s="123"/>
      <c r="E78" s="123"/>
      <c r="F78" s="123"/>
      <c r="G78" s="123"/>
      <c r="H78" s="123"/>
      <c r="I78" s="136">
        <v>21</v>
      </c>
      <c r="J78" s="133"/>
    </row>
    <row r="79" spans="1:10">
      <c r="A79" s="92" t="s">
        <v>266</v>
      </c>
      <c r="B79" s="93" t="s">
        <v>370</v>
      </c>
      <c r="C79" s="93"/>
      <c r="D79" s="93"/>
      <c r="E79" s="93"/>
      <c r="F79" s="93"/>
      <c r="G79" s="93"/>
      <c r="H79" s="93"/>
      <c r="I79" s="93"/>
      <c r="J79" s="121">
        <v>0</v>
      </c>
    </row>
    <row r="80" spans="1:10">
      <c r="A80" s="92" t="s">
        <v>268</v>
      </c>
      <c r="B80" s="64" t="s">
        <v>372</v>
      </c>
      <c r="C80" s="64"/>
      <c r="D80" s="64"/>
      <c r="E80" s="64"/>
      <c r="F80" s="64"/>
      <c r="G80" s="64"/>
      <c r="H80" s="64"/>
      <c r="I80" s="64"/>
      <c r="J80" s="121">
        <v>0</v>
      </c>
    </row>
    <row r="81" spans="1:10">
      <c r="A81" s="92" t="s">
        <v>323</v>
      </c>
      <c r="B81" s="64" t="s">
        <v>585</v>
      </c>
      <c r="C81" s="64"/>
      <c r="D81" s="64"/>
      <c r="E81" s="64"/>
      <c r="F81" s="64"/>
      <c r="G81" s="64"/>
      <c r="H81" s="64"/>
      <c r="I81" s="64"/>
      <c r="J81" s="137">
        <f>'[1]ABA DE CARREGAMENTO'!$B$80</f>
        <v>15.02</v>
      </c>
    </row>
    <row r="82" spans="1:10">
      <c r="A82" s="92" t="s">
        <v>325</v>
      </c>
      <c r="B82" s="93" t="s">
        <v>374</v>
      </c>
      <c r="C82" s="93"/>
      <c r="D82" s="93"/>
      <c r="E82" s="93"/>
      <c r="F82" s="93"/>
      <c r="G82" s="93"/>
      <c r="H82" s="93"/>
      <c r="I82" s="93"/>
      <c r="J82" s="138" t="s">
        <v>363</v>
      </c>
    </row>
    <row r="83" spans="1:10">
      <c r="A83" s="96" t="s">
        <v>329</v>
      </c>
      <c r="B83" s="96"/>
      <c r="C83" s="96"/>
      <c r="D83" s="96"/>
      <c r="E83" s="96"/>
      <c r="F83" s="96"/>
      <c r="G83" s="96"/>
      <c r="H83" s="96"/>
      <c r="I83" s="96"/>
      <c r="J83" s="119">
        <f>SUM(J72:J81)</f>
        <v>435.47</v>
      </c>
    </row>
    <row r="84" spans="1:10">
      <c r="A84" s="77"/>
      <c r="B84" s="77"/>
      <c r="C84" s="77"/>
      <c r="D84" s="77"/>
      <c r="E84" s="77"/>
      <c r="F84" s="77"/>
      <c r="G84" s="77"/>
      <c r="H84" s="77"/>
      <c r="I84" s="77"/>
      <c r="J84" s="77"/>
    </row>
    <row r="85" spans="1:10">
      <c r="A85" s="79" t="s">
        <v>375</v>
      </c>
      <c r="B85" s="79"/>
      <c r="C85" s="79"/>
      <c r="D85" s="79"/>
      <c r="E85" s="79"/>
      <c r="F85" s="79"/>
      <c r="G85" s="79"/>
      <c r="H85" s="79"/>
      <c r="I85" s="79"/>
      <c r="J85" s="79"/>
    </row>
    <row r="86" spans="1:10">
      <c r="A86" s="77"/>
      <c r="B86" s="77"/>
      <c r="C86" s="77"/>
      <c r="D86" s="77"/>
      <c r="E86" s="77"/>
      <c r="F86" s="77"/>
      <c r="G86" s="77"/>
      <c r="H86" s="77"/>
      <c r="I86" s="77"/>
      <c r="J86" s="77"/>
    </row>
    <row r="87" ht="15" spans="1:10">
      <c r="A87" s="88" t="s">
        <v>376</v>
      </c>
      <c r="B87" s="88"/>
      <c r="C87" s="88"/>
      <c r="D87" s="88"/>
      <c r="E87" s="88"/>
      <c r="F87" s="88"/>
      <c r="G87" s="88"/>
      <c r="H87" s="88"/>
      <c r="I87" s="88"/>
      <c r="J87" s="88"/>
    </row>
    <row r="88" ht="15" spans="1:10">
      <c r="A88" s="81">
        <v>2</v>
      </c>
      <c r="B88" s="81" t="s">
        <v>377</v>
      </c>
      <c r="C88" s="81"/>
      <c r="D88" s="81"/>
      <c r="E88" s="81"/>
      <c r="F88" s="81"/>
      <c r="G88" s="81"/>
      <c r="H88" s="81"/>
      <c r="I88" s="81"/>
      <c r="J88" s="81" t="s">
        <v>335</v>
      </c>
    </row>
    <row r="89" spans="1:10">
      <c r="A89" s="67" t="s">
        <v>333</v>
      </c>
      <c r="B89" s="64" t="s">
        <v>580</v>
      </c>
      <c r="C89" s="64"/>
      <c r="D89" s="64"/>
      <c r="E89" s="64"/>
      <c r="F89" s="64"/>
      <c r="G89" s="64"/>
      <c r="H89" s="64"/>
      <c r="I89" s="64"/>
      <c r="J89" s="139">
        <f>J52</f>
        <v>252.55</v>
      </c>
    </row>
    <row r="90" spans="1:10">
      <c r="A90" s="67" t="s">
        <v>342</v>
      </c>
      <c r="B90" s="64" t="s">
        <v>343</v>
      </c>
      <c r="C90" s="64"/>
      <c r="D90" s="64"/>
      <c r="E90" s="64"/>
      <c r="F90" s="64"/>
      <c r="G90" s="64"/>
      <c r="H90" s="64"/>
      <c r="I90" s="64"/>
      <c r="J90" s="139">
        <f>J66</f>
        <v>647.13</v>
      </c>
    </row>
    <row r="91" spans="1:10">
      <c r="A91" s="67" t="s">
        <v>359</v>
      </c>
      <c r="B91" s="64" t="s">
        <v>360</v>
      </c>
      <c r="C91" s="64"/>
      <c r="D91" s="64"/>
      <c r="E91" s="64"/>
      <c r="F91" s="64"/>
      <c r="G91" s="64"/>
      <c r="H91" s="64"/>
      <c r="I91" s="64"/>
      <c r="J91" s="139">
        <f>J83</f>
        <v>435.47</v>
      </c>
    </row>
    <row r="92" spans="1:10">
      <c r="A92" s="86" t="s">
        <v>338</v>
      </c>
      <c r="B92" s="86"/>
      <c r="C92" s="86"/>
      <c r="D92" s="86"/>
      <c r="E92" s="86"/>
      <c r="F92" s="86"/>
      <c r="G92" s="86"/>
      <c r="H92" s="86"/>
      <c r="I92" s="86"/>
      <c r="J92" s="140">
        <f>SUM(J89+J90+J91)</f>
        <v>1335.15</v>
      </c>
    </row>
    <row r="93" spans="1:10">
      <c r="A93" s="77"/>
      <c r="B93" s="77"/>
      <c r="C93" s="77"/>
      <c r="D93" s="77"/>
      <c r="E93" s="77"/>
      <c r="F93" s="77"/>
      <c r="G93" s="77"/>
      <c r="H93" s="77"/>
      <c r="I93" s="77"/>
      <c r="J93" s="77"/>
    </row>
    <row r="94" ht="15" spans="1:10">
      <c r="A94" s="88" t="s">
        <v>379</v>
      </c>
      <c r="B94" s="88"/>
      <c r="C94" s="88"/>
      <c r="D94" s="88"/>
      <c r="E94" s="88"/>
      <c r="F94" s="88"/>
      <c r="G94" s="88"/>
      <c r="H94" s="88"/>
      <c r="I94" s="88"/>
      <c r="J94" s="88"/>
    </row>
    <row r="95" ht="15" spans="1:10">
      <c r="A95" s="97">
        <v>3</v>
      </c>
      <c r="B95" s="97" t="s">
        <v>380</v>
      </c>
      <c r="C95" s="97"/>
      <c r="D95" s="97"/>
      <c r="E95" s="97"/>
      <c r="F95" s="97"/>
      <c r="G95" s="97"/>
      <c r="H95" s="97"/>
      <c r="I95" s="97"/>
      <c r="J95" s="97" t="s">
        <v>381</v>
      </c>
    </row>
    <row r="96" spans="1:10">
      <c r="A96" s="92" t="s">
        <v>262</v>
      </c>
      <c r="B96" s="64" t="s">
        <v>382</v>
      </c>
      <c r="C96" s="64"/>
      <c r="D96" s="64"/>
      <c r="E96" s="64"/>
      <c r="F96" s="64"/>
      <c r="G96" s="64"/>
      <c r="H96" s="64"/>
      <c r="I96" s="64"/>
      <c r="J96" s="121">
        <f>ROUND((($J$41/12)+($J$48/12)+($J$41/12/12)+($J$49/12))*(30/30)*0.05,2)</f>
        <v>8.09</v>
      </c>
    </row>
    <row r="97" spans="1:10">
      <c r="A97" s="92" t="s">
        <v>264</v>
      </c>
      <c r="B97" s="64" t="s">
        <v>383</v>
      </c>
      <c r="C97" s="64"/>
      <c r="D97" s="64"/>
      <c r="E97" s="64"/>
      <c r="F97" s="64"/>
      <c r="G97" s="64"/>
      <c r="H97" s="64"/>
      <c r="I97" s="64"/>
      <c r="J97" s="121">
        <f>ROUND($J$96*I65,2)</f>
        <v>0.65</v>
      </c>
    </row>
    <row r="98" spans="1:10">
      <c r="A98" s="92" t="s">
        <v>266</v>
      </c>
      <c r="B98" s="64" t="s">
        <v>586</v>
      </c>
      <c r="C98" s="64"/>
      <c r="D98" s="64"/>
      <c r="E98" s="64"/>
      <c r="F98" s="64"/>
      <c r="G98" s="64"/>
      <c r="H98" s="64"/>
      <c r="I98" s="64"/>
      <c r="J98" s="121">
        <f>ROUND(0.08*0.4*($J$41+$J$48+$J$49+J109)*0.05,2)</f>
        <v>2.89</v>
      </c>
    </row>
    <row r="99" spans="1:10">
      <c r="A99" s="92" t="s">
        <v>268</v>
      </c>
      <c r="B99" s="64" t="s">
        <v>385</v>
      </c>
      <c r="C99" s="64"/>
      <c r="D99" s="64"/>
      <c r="E99" s="64"/>
      <c r="F99" s="64"/>
      <c r="G99" s="64"/>
      <c r="H99" s="64"/>
      <c r="I99" s="64"/>
      <c r="J99" s="121">
        <f>ROUND(((($J$41/30)*7)/$H$11)*0.9,2)</f>
        <v>17.07</v>
      </c>
    </row>
    <row r="100" spans="1:10">
      <c r="A100" s="92" t="s">
        <v>323</v>
      </c>
      <c r="B100" s="64" t="s">
        <v>386</v>
      </c>
      <c r="C100" s="64"/>
      <c r="D100" s="64"/>
      <c r="E100" s="64"/>
      <c r="F100" s="64"/>
      <c r="G100" s="64"/>
      <c r="H100" s="64"/>
      <c r="I100" s="64"/>
      <c r="J100" s="121">
        <f>ROUND($I$66*J99,2)</f>
        <v>6.79</v>
      </c>
    </row>
    <row r="101" spans="1:10">
      <c r="A101" s="92" t="s">
        <v>325</v>
      </c>
      <c r="B101" s="64" t="s">
        <v>587</v>
      </c>
      <c r="C101" s="64"/>
      <c r="D101" s="64"/>
      <c r="E101" s="64"/>
      <c r="F101" s="64"/>
      <c r="G101" s="64"/>
      <c r="H101" s="64"/>
      <c r="I101" s="64"/>
      <c r="J101" s="121">
        <f>ROUND(0.08*0.4*($J$41+$J$48+$J$49+J109)*0.9,2)</f>
        <v>52.03</v>
      </c>
    </row>
    <row r="102" spans="1:10">
      <c r="A102" s="96" t="s">
        <v>338</v>
      </c>
      <c r="B102" s="96"/>
      <c r="C102" s="96"/>
      <c r="D102" s="96"/>
      <c r="E102" s="96"/>
      <c r="F102" s="96"/>
      <c r="G102" s="96"/>
      <c r="H102" s="96"/>
      <c r="I102" s="96"/>
      <c r="J102" s="119">
        <f>SUM(J96:J101)</f>
        <v>87.52</v>
      </c>
    </row>
    <row r="103" ht="43" customHeight="1" spans="1:10">
      <c r="A103" s="125" t="s">
        <v>388</v>
      </c>
      <c r="B103" s="125"/>
      <c r="C103" s="125"/>
      <c r="D103" s="125"/>
      <c r="E103" s="125"/>
      <c r="F103" s="125"/>
      <c r="G103" s="125"/>
      <c r="H103" s="125"/>
      <c r="I103" s="125"/>
      <c r="J103" s="125"/>
    </row>
    <row r="104" ht="15" spans="1:10">
      <c r="A104" s="88" t="s">
        <v>389</v>
      </c>
      <c r="B104" s="88"/>
      <c r="C104" s="88"/>
      <c r="D104" s="88"/>
      <c r="E104" s="88"/>
      <c r="F104" s="88"/>
      <c r="G104" s="88"/>
      <c r="H104" s="88"/>
      <c r="I104" s="88"/>
      <c r="J104" s="88"/>
    </row>
    <row r="105" spans="1:10">
      <c r="A105" s="79" t="s">
        <v>390</v>
      </c>
      <c r="B105" s="79"/>
      <c r="C105" s="79"/>
      <c r="D105" s="79"/>
      <c r="E105" s="79"/>
      <c r="F105" s="79"/>
      <c r="G105" s="79"/>
      <c r="H105" s="79"/>
      <c r="I105" s="79"/>
      <c r="J105" s="79"/>
    </row>
    <row r="106" ht="15" spans="1:10">
      <c r="A106" s="126" t="s">
        <v>588</v>
      </c>
      <c r="B106" s="126"/>
      <c r="C106" s="126"/>
      <c r="D106" s="126"/>
      <c r="E106" s="126"/>
      <c r="F106" s="126"/>
      <c r="G106" s="126"/>
      <c r="H106" s="126"/>
      <c r="I106" s="126"/>
      <c r="J106" s="141">
        <f>ROUND(J41/12,2)+J41+J48+J49</f>
        <v>1942.076</v>
      </c>
    </row>
    <row r="107" ht="15" spans="1:10">
      <c r="A107" s="88" t="s">
        <v>392</v>
      </c>
      <c r="B107" s="88"/>
      <c r="C107" s="88"/>
      <c r="D107" s="88"/>
      <c r="E107" s="88"/>
      <c r="F107" s="88"/>
      <c r="G107" s="88"/>
      <c r="H107" s="88"/>
      <c r="I107" s="88"/>
      <c r="J107" s="88"/>
    </row>
    <row r="108" ht="15" spans="1:10">
      <c r="A108" s="127" t="s">
        <v>393</v>
      </c>
      <c r="B108" s="97" t="s">
        <v>394</v>
      </c>
      <c r="C108" s="97"/>
      <c r="D108" s="97"/>
      <c r="E108" s="97"/>
      <c r="F108" s="97"/>
      <c r="G108" s="97"/>
      <c r="H108" s="97"/>
      <c r="I108" s="97"/>
      <c r="J108" s="127" t="s">
        <v>335</v>
      </c>
    </row>
    <row r="109" spans="1:10">
      <c r="A109" s="95" t="s">
        <v>262</v>
      </c>
      <c r="B109" s="93" t="s">
        <v>395</v>
      </c>
      <c r="C109" s="93"/>
      <c r="D109" s="93"/>
      <c r="E109" s="93"/>
      <c r="F109" s="93"/>
      <c r="G109" s="93"/>
      <c r="H109" s="93"/>
      <c r="I109" s="93"/>
      <c r="J109" s="121">
        <v>0</v>
      </c>
    </row>
    <row r="110" spans="1:10">
      <c r="A110" s="95" t="s">
        <v>264</v>
      </c>
      <c r="B110" s="93" t="s">
        <v>396</v>
      </c>
      <c r="C110" s="93"/>
      <c r="D110" s="93"/>
      <c r="E110" s="93"/>
      <c r="F110" s="93"/>
      <c r="G110" s="93"/>
      <c r="H110" s="93"/>
      <c r="I110" s="93"/>
      <c r="J110" s="142">
        <f>ROUND((($J$106/30)*2.96)/12,2)</f>
        <v>15.97</v>
      </c>
    </row>
    <row r="111" spans="1:10">
      <c r="A111" s="95" t="s">
        <v>266</v>
      </c>
      <c r="B111" s="93" t="s">
        <v>397</v>
      </c>
      <c r="C111" s="93"/>
      <c r="D111" s="93"/>
      <c r="E111" s="93"/>
      <c r="F111" s="93"/>
      <c r="G111" s="93"/>
      <c r="H111" s="93"/>
      <c r="I111" s="93"/>
      <c r="J111" s="142">
        <f>ROUND((($J$106/30)*5)/12*0.015,2)</f>
        <v>0.4</v>
      </c>
    </row>
    <row r="112" spans="1:10">
      <c r="A112" s="95" t="s">
        <v>268</v>
      </c>
      <c r="B112" s="93" t="s">
        <v>398</v>
      </c>
      <c r="C112" s="93"/>
      <c r="D112" s="93"/>
      <c r="E112" s="93"/>
      <c r="F112" s="93"/>
      <c r="G112" s="93"/>
      <c r="H112" s="93"/>
      <c r="I112" s="93"/>
      <c r="J112" s="118">
        <f>ROUND(((($J$106/30)*15)/12)*0.0078,2)</f>
        <v>0.63</v>
      </c>
    </row>
    <row r="113" spans="1:10">
      <c r="A113" s="95" t="s">
        <v>323</v>
      </c>
      <c r="B113" s="93" t="s">
        <v>399</v>
      </c>
      <c r="C113" s="93"/>
      <c r="D113" s="93"/>
      <c r="E113" s="93"/>
      <c r="F113" s="93"/>
      <c r="G113" s="93"/>
      <c r="H113" s="93"/>
      <c r="I113" s="93"/>
      <c r="J113" s="121">
        <f>ROUND(((($J$41+$J$41/3)*4/12)/12)*0.02,2)</f>
        <v>1.2</v>
      </c>
    </row>
    <row r="114" spans="1:10">
      <c r="A114" s="128" t="s">
        <v>325</v>
      </c>
      <c r="B114" s="129" t="s">
        <v>400</v>
      </c>
      <c r="C114" s="129"/>
      <c r="D114" s="129"/>
      <c r="E114" s="129"/>
      <c r="F114" s="129"/>
      <c r="G114" s="129"/>
      <c r="H114" s="129"/>
      <c r="I114" s="129"/>
      <c r="J114" s="118">
        <f>ROUND(((($J$106/30)*5)/12),2)</f>
        <v>26.97</v>
      </c>
    </row>
    <row r="115" spans="1:10">
      <c r="A115" s="96" t="s">
        <v>338</v>
      </c>
      <c r="B115" s="96"/>
      <c r="C115" s="96"/>
      <c r="D115" s="96"/>
      <c r="E115" s="96"/>
      <c r="F115" s="96"/>
      <c r="G115" s="96"/>
      <c r="H115" s="96"/>
      <c r="I115" s="96"/>
      <c r="J115" s="143">
        <f>SUM(J109:J114)</f>
        <v>45.17</v>
      </c>
    </row>
    <row r="116" spans="1:10">
      <c r="A116" s="95" t="s">
        <v>327</v>
      </c>
      <c r="B116" s="93" t="s">
        <v>401</v>
      </c>
      <c r="C116" s="93"/>
      <c r="D116" s="93"/>
      <c r="E116" s="93"/>
      <c r="F116" s="93"/>
      <c r="G116" s="93"/>
      <c r="H116" s="93"/>
      <c r="I116" s="93"/>
      <c r="J116" s="118">
        <f>ROUND(I66*J115,2)</f>
        <v>17.98</v>
      </c>
    </row>
    <row r="117" spans="1:10">
      <c r="A117" s="96" t="s">
        <v>338</v>
      </c>
      <c r="B117" s="96"/>
      <c r="C117" s="96"/>
      <c r="D117" s="96"/>
      <c r="E117" s="96"/>
      <c r="F117" s="96"/>
      <c r="G117" s="96"/>
      <c r="H117" s="96"/>
      <c r="I117" s="96"/>
      <c r="J117" s="119">
        <f>SUM(J115:J116)</f>
        <v>63.15</v>
      </c>
    </row>
    <row r="118" ht="68" customHeight="1" spans="1:10">
      <c r="A118" s="79" t="s">
        <v>589</v>
      </c>
      <c r="B118" s="79"/>
      <c r="C118" s="79"/>
      <c r="D118" s="79"/>
      <c r="E118" s="79"/>
      <c r="F118" s="79"/>
      <c r="G118" s="79"/>
      <c r="H118" s="79"/>
      <c r="I118" s="79"/>
      <c r="J118" s="79"/>
    </row>
    <row r="119" spans="1:10">
      <c r="A119" s="130"/>
      <c r="B119" s="130"/>
      <c r="C119" s="130"/>
      <c r="D119" s="130"/>
      <c r="E119" s="130"/>
      <c r="F119" s="130"/>
      <c r="G119" s="130"/>
      <c r="H119" s="130"/>
      <c r="I119" s="130"/>
      <c r="J119" s="130"/>
    </row>
    <row r="120" ht="15" spans="1:10">
      <c r="A120" s="88" t="s">
        <v>403</v>
      </c>
      <c r="B120" s="88"/>
      <c r="C120" s="88"/>
      <c r="D120" s="88"/>
      <c r="E120" s="88"/>
      <c r="F120" s="88"/>
      <c r="G120" s="88"/>
      <c r="H120" s="88"/>
      <c r="I120" s="88"/>
      <c r="J120" s="88"/>
    </row>
    <row r="121" ht="15" spans="1:10">
      <c r="A121" s="97" t="s">
        <v>404</v>
      </c>
      <c r="B121" s="97" t="s">
        <v>405</v>
      </c>
      <c r="C121" s="97"/>
      <c r="D121" s="97"/>
      <c r="E121" s="97"/>
      <c r="F121" s="97"/>
      <c r="G121" s="97"/>
      <c r="H121" s="97"/>
      <c r="I121" s="97"/>
      <c r="J121" s="144" t="s">
        <v>335</v>
      </c>
    </row>
    <row r="122" spans="1:10">
      <c r="A122" s="92" t="s">
        <v>262</v>
      </c>
      <c r="B122" s="93" t="s">
        <v>406</v>
      </c>
      <c r="C122" s="93"/>
      <c r="D122" s="93"/>
      <c r="E122" s="93"/>
      <c r="F122" s="93"/>
      <c r="G122" s="93"/>
      <c r="H122" s="93"/>
      <c r="I122" s="93"/>
      <c r="J122" s="121">
        <v>0</v>
      </c>
    </row>
    <row r="123" spans="1:10">
      <c r="A123" s="117" t="s">
        <v>338</v>
      </c>
      <c r="B123" s="117"/>
      <c r="C123" s="117"/>
      <c r="D123" s="117"/>
      <c r="E123" s="117"/>
      <c r="F123" s="117"/>
      <c r="G123" s="117"/>
      <c r="H123" s="117"/>
      <c r="I123" s="117"/>
      <c r="J123" s="121">
        <v>0</v>
      </c>
    </row>
    <row r="124" spans="1:10">
      <c r="A124" s="95" t="s">
        <v>264</v>
      </c>
      <c r="B124" s="93" t="s">
        <v>407</v>
      </c>
      <c r="C124" s="93"/>
      <c r="D124" s="93"/>
      <c r="E124" s="93"/>
      <c r="F124" s="93"/>
      <c r="G124" s="93"/>
      <c r="H124" s="93"/>
      <c r="I124" s="93"/>
      <c r="J124" s="118">
        <f>ROUND(I66*J123,2)</f>
        <v>0</v>
      </c>
    </row>
    <row r="125" spans="1:10">
      <c r="A125" s="96" t="s">
        <v>338</v>
      </c>
      <c r="B125" s="96"/>
      <c r="C125" s="96"/>
      <c r="D125" s="96"/>
      <c r="E125" s="96"/>
      <c r="F125" s="96"/>
      <c r="G125" s="96"/>
      <c r="H125" s="96"/>
      <c r="I125" s="96"/>
      <c r="J125" s="119">
        <f>SUM(J123:J124)</f>
        <v>0</v>
      </c>
    </row>
    <row r="126" spans="1:10">
      <c r="A126" s="130"/>
      <c r="B126" s="130"/>
      <c r="C126" s="130"/>
      <c r="D126" s="130"/>
      <c r="E126" s="130"/>
      <c r="F126" s="130"/>
      <c r="G126" s="130"/>
      <c r="H126" s="130"/>
      <c r="I126" s="130"/>
      <c r="J126" s="130"/>
    </row>
    <row r="127" spans="1:10">
      <c r="A127" s="79" t="s">
        <v>408</v>
      </c>
      <c r="B127" s="79"/>
      <c r="C127" s="79"/>
      <c r="D127" s="79"/>
      <c r="E127" s="79"/>
      <c r="F127" s="79"/>
      <c r="G127" s="79"/>
      <c r="H127" s="79"/>
      <c r="I127" s="79"/>
      <c r="J127" s="79"/>
    </row>
    <row r="128" spans="1:10">
      <c r="A128" s="130"/>
      <c r="B128" s="130"/>
      <c r="C128" s="130"/>
      <c r="D128" s="130"/>
      <c r="E128" s="130"/>
      <c r="F128" s="130"/>
      <c r="G128" s="130"/>
      <c r="H128" s="130"/>
      <c r="I128" s="130"/>
      <c r="J128" s="130"/>
    </row>
    <row r="129" ht="15" spans="1:10">
      <c r="A129" s="88" t="s">
        <v>409</v>
      </c>
      <c r="B129" s="88"/>
      <c r="C129" s="88"/>
      <c r="D129" s="88"/>
      <c r="E129" s="88"/>
      <c r="F129" s="88"/>
      <c r="G129" s="88"/>
      <c r="H129" s="88"/>
      <c r="I129" s="88"/>
      <c r="J129" s="88"/>
    </row>
    <row r="130" ht="15" spans="1:10">
      <c r="A130" s="81">
        <v>4</v>
      </c>
      <c r="B130" s="81" t="s">
        <v>410</v>
      </c>
      <c r="C130" s="81"/>
      <c r="D130" s="81"/>
      <c r="E130" s="81"/>
      <c r="F130" s="81"/>
      <c r="G130" s="81"/>
      <c r="H130" s="81"/>
      <c r="I130" s="81"/>
      <c r="J130" s="144" t="s">
        <v>335</v>
      </c>
    </row>
    <row r="131" spans="1:10">
      <c r="A131" s="67" t="s">
        <v>393</v>
      </c>
      <c r="B131" s="64" t="s">
        <v>394</v>
      </c>
      <c r="C131" s="64"/>
      <c r="D131" s="64"/>
      <c r="E131" s="64"/>
      <c r="F131" s="64"/>
      <c r="G131" s="64"/>
      <c r="H131" s="64"/>
      <c r="I131" s="64"/>
      <c r="J131" s="121">
        <f>J117</f>
        <v>63.15</v>
      </c>
    </row>
    <row r="132" spans="1:10">
      <c r="A132" s="67" t="s">
        <v>411</v>
      </c>
      <c r="B132" s="64" t="s">
        <v>405</v>
      </c>
      <c r="C132" s="64"/>
      <c r="D132" s="64"/>
      <c r="E132" s="64"/>
      <c r="F132" s="64"/>
      <c r="G132" s="64"/>
      <c r="H132" s="64"/>
      <c r="I132" s="64"/>
      <c r="J132" s="121">
        <f>J125</f>
        <v>0</v>
      </c>
    </row>
    <row r="133" spans="1:10">
      <c r="A133" s="86" t="s">
        <v>338</v>
      </c>
      <c r="B133" s="86"/>
      <c r="C133" s="86"/>
      <c r="D133" s="86"/>
      <c r="E133" s="86"/>
      <c r="F133" s="86"/>
      <c r="G133" s="86"/>
      <c r="H133" s="86"/>
      <c r="I133" s="86"/>
      <c r="J133" s="119">
        <f>SUM(J131+J132)</f>
        <v>63.15</v>
      </c>
    </row>
    <row r="134" spans="1:10">
      <c r="A134" s="77"/>
      <c r="B134" s="77"/>
      <c r="C134" s="77"/>
      <c r="D134" s="77"/>
      <c r="E134" s="77"/>
      <c r="F134" s="77"/>
      <c r="G134" s="77"/>
      <c r="H134" s="77"/>
      <c r="I134" s="77"/>
      <c r="J134" s="77"/>
    </row>
    <row r="135" ht="15" spans="1:10">
      <c r="A135" s="88" t="s">
        <v>412</v>
      </c>
      <c r="B135" s="88"/>
      <c r="C135" s="88"/>
      <c r="D135" s="88"/>
      <c r="E135" s="88"/>
      <c r="F135" s="88"/>
      <c r="G135" s="88"/>
      <c r="H135" s="88"/>
      <c r="I135" s="88"/>
      <c r="J135" s="88"/>
    </row>
    <row r="136" ht="15" spans="1:10">
      <c r="A136" s="97">
        <v>5</v>
      </c>
      <c r="B136" s="97" t="s">
        <v>413</v>
      </c>
      <c r="C136" s="97"/>
      <c r="D136" s="97"/>
      <c r="E136" s="97"/>
      <c r="F136" s="97"/>
      <c r="G136" s="97"/>
      <c r="H136" s="97"/>
      <c r="I136" s="97"/>
      <c r="J136" s="97" t="s">
        <v>335</v>
      </c>
    </row>
    <row r="137" spans="1:10">
      <c r="A137" s="92" t="s">
        <v>262</v>
      </c>
      <c r="B137" s="93" t="s">
        <v>414</v>
      </c>
      <c r="C137" s="93"/>
      <c r="D137" s="93"/>
      <c r="E137" s="93"/>
      <c r="F137" s="93"/>
      <c r="G137" s="93"/>
      <c r="H137" s="93"/>
      <c r="I137" s="93"/>
      <c r="J137" s="121">
        <f>Insumos!F116</f>
        <v>63.0483333333333</v>
      </c>
    </row>
    <row r="138" spans="1:10">
      <c r="A138" s="92" t="s">
        <v>264</v>
      </c>
      <c r="B138" s="93" t="s">
        <v>415</v>
      </c>
      <c r="C138" s="93"/>
      <c r="D138" s="93"/>
      <c r="E138" s="93"/>
      <c r="F138" s="93"/>
      <c r="G138" s="93"/>
      <c r="H138" s="93"/>
      <c r="I138" s="93"/>
      <c r="J138" s="174">
        <v>0</v>
      </c>
    </row>
    <row r="139" spans="1:10">
      <c r="A139" s="92" t="s">
        <v>266</v>
      </c>
      <c r="B139" s="93" t="s">
        <v>416</v>
      </c>
      <c r="C139" s="93"/>
      <c r="D139" s="93"/>
      <c r="E139" s="93"/>
      <c r="F139" s="93"/>
      <c r="G139" s="93"/>
      <c r="H139" s="93"/>
      <c r="I139" s="93"/>
      <c r="J139" s="174">
        <v>0</v>
      </c>
    </row>
    <row r="140" spans="1:10">
      <c r="A140" s="92" t="s">
        <v>268</v>
      </c>
      <c r="B140" s="93" t="s">
        <v>417</v>
      </c>
      <c r="C140" s="93"/>
      <c r="D140" s="93"/>
      <c r="E140" s="93"/>
      <c r="F140" s="93"/>
      <c r="G140" s="93"/>
      <c r="H140" s="93"/>
      <c r="I140" s="93"/>
      <c r="J140" s="174" t="s">
        <v>418</v>
      </c>
    </row>
    <row r="141" spans="1:10">
      <c r="A141" s="96" t="s">
        <v>329</v>
      </c>
      <c r="B141" s="96"/>
      <c r="C141" s="96"/>
      <c r="D141" s="96"/>
      <c r="E141" s="96"/>
      <c r="F141" s="96"/>
      <c r="G141" s="96"/>
      <c r="H141" s="96"/>
      <c r="I141" s="96"/>
      <c r="J141" s="175">
        <f>SUM(J137:J140)</f>
        <v>63.0483333333333</v>
      </c>
    </row>
    <row r="142" spans="1:10">
      <c r="A142" s="77"/>
      <c r="B142" s="77"/>
      <c r="C142" s="77"/>
      <c r="D142" s="77"/>
      <c r="E142" s="77"/>
      <c r="F142" s="77"/>
      <c r="G142" s="77"/>
      <c r="H142" s="77"/>
      <c r="I142" s="77"/>
      <c r="J142" s="77"/>
    </row>
    <row r="143" spans="1:10">
      <c r="A143" s="79" t="s">
        <v>419</v>
      </c>
      <c r="B143" s="79"/>
      <c r="C143" s="79"/>
      <c r="D143" s="79"/>
      <c r="E143" s="79"/>
      <c r="F143" s="79"/>
      <c r="G143" s="79"/>
      <c r="H143" s="79"/>
      <c r="I143" s="79"/>
      <c r="J143" s="79"/>
    </row>
    <row r="144" spans="1:10">
      <c r="A144" s="77"/>
      <c r="B144" s="77"/>
      <c r="C144" s="77"/>
      <c r="D144" s="77"/>
      <c r="E144" s="77"/>
      <c r="F144" s="77"/>
      <c r="G144" s="77"/>
      <c r="H144" s="77"/>
      <c r="I144" s="77"/>
      <c r="J144" s="77"/>
    </row>
    <row r="145" ht="15" spans="1:10">
      <c r="A145" s="88" t="s">
        <v>420</v>
      </c>
      <c r="B145" s="88"/>
      <c r="C145" s="88"/>
      <c r="D145" s="88"/>
      <c r="E145" s="88"/>
      <c r="F145" s="88"/>
      <c r="G145" s="88"/>
      <c r="H145" s="88"/>
      <c r="I145" s="88"/>
      <c r="J145" s="88"/>
    </row>
    <row r="146" ht="30" spans="1:10">
      <c r="A146" s="97">
        <v>6</v>
      </c>
      <c r="B146" s="97" t="s">
        <v>421</v>
      </c>
      <c r="C146" s="97"/>
      <c r="D146" s="97"/>
      <c r="E146" s="97"/>
      <c r="F146" s="97"/>
      <c r="G146" s="97"/>
      <c r="H146" s="97"/>
      <c r="I146" s="81" t="s">
        <v>344</v>
      </c>
      <c r="J146" s="176" t="s">
        <v>422</v>
      </c>
    </row>
    <row r="147" spans="1:10">
      <c r="A147" s="145" t="s">
        <v>423</v>
      </c>
      <c r="B147" s="145"/>
      <c r="C147" s="145"/>
      <c r="D147" s="145"/>
      <c r="E147" s="145"/>
      <c r="F147" s="145"/>
      <c r="G147" s="145"/>
      <c r="H147" s="145"/>
      <c r="I147" s="177" t="s">
        <v>363</v>
      </c>
      <c r="J147" s="178">
        <f>SUM(J41+J92+J102+J133+J141)</f>
        <v>3174.80433333333</v>
      </c>
    </row>
    <row r="148" ht="15.75" spans="1:10">
      <c r="A148" s="146" t="s">
        <v>262</v>
      </c>
      <c r="B148" s="147" t="s">
        <v>424</v>
      </c>
      <c r="C148" s="147"/>
      <c r="D148" s="147"/>
      <c r="E148" s="147"/>
      <c r="F148" s="147"/>
      <c r="G148" s="147"/>
      <c r="H148" s="147"/>
      <c r="I148" s="179">
        <v>0.05</v>
      </c>
      <c r="J148" s="121">
        <f>ROUND(I148*J147,2)</f>
        <v>158.74</v>
      </c>
    </row>
    <row r="149" spans="1:10">
      <c r="A149" s="145" t="s">
        <v>425</v>
      </c>
      <c r="B149" s="145"/>
      <c r="C149" s="145"/>
      <c r="D149" s="145"/>
      <c r="E149" s="145"/>
      <c r="F149" s="145"/>
      <c r="G149" s="145"/>
      <c r="H149" s="145"/>
      <c r="I149" s="180" t="s">
        <v>363</v>
      </c>
      <c r="J149" s="178">
        <f>SUM(J41+J92+J102+J133+J141+J148)</f>
        <v>3333.54433333333</v>
      </c>
    </row>
    <row r="150" ht="15.75" spans="1:10">
      <c r="A150" s="146" t="s">
        <v>264</v>
      </c>
      <c r="B150" s="147" t="s">
        <v>80</v>
      </c>
      <c r="C150" s="147"/>
      <c r="D150" s="147"/>
      <c r="E150" s="147"/>
      <c r="F150" s="147"/>
      <c r="G150" s="147"/>
      <c r="H150" s="147"/>
      <c r="I150" s="179">
        <v>0.061</v>
      </c>
      <c r="J150" s="121">
        <f>ROUND(I150*J149,2)</f>
        <v>203.35</v>
      </c>
    </row>
    <row r="151" spans="1:10">
      <c r="A151" s="145" t="s">
        <v>426</v>
      </c>
      <c r="B151" s="145"/>
      <c r="C151" s="145"/>
      <c r="D151" s="145"/>
      <c r="E151" s="145"/>
      <c r="F151" s="145"/>
      <c r="G151" s="145"/>
      <c r="H151" s="145"/>
      <c r="I151" s="180" t="s">
        <v>363</v>
      </c>
      <c r="J151" s="178">
        <f>SUM(J41+J92+J102+J133+J141+J148+J150)</f>
        <v>3536.89433333333</v>
      </c>
    </row>
    <row r="152" ht="15.75" spans="1:10">
      <c r="A152" s="146" t="s">
        <v>266</v>
      </c>
      <c r="B152" s="147" t="s">
        <v>427</v>
      </c>
      <c r="C152" s="147"/>
      <c r="D152" s="147"/>
      <c r="E152" s="147"/>
      <c r="F152" s="147"/>
      <c r="G152" s="147"/>
      <c r="H152" s="147"/>
      <c r="I152" s="181" t="s">
        <v>363</v>
      </c>
      <c r="J152" s="133" t="s">
        <v>363</v>
      </c>
    </row>
    <row r="153" spans="1:10">
      <c r="A153" s="92"/>
      <c r="B153" s="93" t="s">
        <v>429</v>
      </c>
      <c r="C153" s="93"/>
      <c r="D153" s="93"/>
      <c r="E153" s="93"/>
      <c r="F153" s="93"/>
      <c r="G153" s="93"/>
      <c r="H153" s="93"/>
      <c r="I153" s="181" t="s">
        <v>363</v>
      </c>
      <c r="J153" s="133" t="s">
        <v>363</v>
      </c>
    </row>
    <row r="154" spans="1:10">
      <c r="A154" s="92"/>
      <c r="B154" s="93" t="s">
        <v>590</v>
      </c>
      <c r="C154" s="93"/>
      <c r="D154" s="93"/>
      <c r="E154" s="93"/>
      <c r="F154" s="93"/>
      <c r="G154" s="93"/>
      <c r="H154" s="93"/>
      <c r="I154" s="182">
        <v>0.03</v>
      </c>
      <c r="J154" s="121">
        <f>ROUND(($J$151/(1-$I$163))*I154,2)</f>
        <v>113.06</v>
      </c>
    </row>
    <row r="155" spans="1:10">
      <c r="A155" s="92"/>
      <c r="B155" s="93" t="s">
        <v>591</v>
      </c>
      <c r="C155" s="93"/>
      <c r="D155" s="93"/>
      <c r="E155" s="93"/>
      <c r="F155" s="93"/>
      <c r="G155" s="93"/>
      <c r="H155" s="93"/>
      <c r="I155" s="182">
        <v>0.0065</v>
      </c>
      <c r="J155" s="121">
        <f>ROUND(($J$151/(1-$I$163))*I155,2)</f>
        <v>24.5</v>
      </c>
    </row>
    <row r="156" spans="1:10">
      <c r="A156" s="92"/>
      <c r="B156" s="64" t="s">
        <v>437</v>
      </c>
      <c r="C156" s="64"/>
      <c r="D156" s="64"/>
      <c r="E156" s="64"/>
      <c r="F156" s="64"/>
      <c r="G156" s="64"/>
      <c r="H156" s="64"/>
      <c r="I156" s="183" t="s">
        <v>363</v>
      </c>
      <c r="J156" s="133" t="s">
        <v>363</v>
      </c>
    </row>
    <row r="157" spans="1:10">
      <c r="A157" s="92"/>
      <c r="B157" s="64" t="s">
        <v>438</v>
      </c>
      <c r="C157" s="64"/>
      <c r="D157" s="64"/>
      <c r="E157" s="64"/>
      <c r="F157" s="64"/>
      <c r="G157" s="64"/>
      <c r="H157" s="64"/>
      <c r="I157" s="183" t="s">
        <v>363</v>
      </c>
      <c r="J157" s="133" t="s">
        <v>363</v>
      </c>
    </row>
    <row r="158" spans="1:10">
      <c r="A158" s="92"/>
      <c r="B158" s="93" t="s">
        <v>439</v>
      </c>
      <c r="C158" s="93"/>
      <c r="D158" s="93"/>
      <c r="E158" s="93"/>
      <c r="F158" s="93"/>
      <c r="G158" s="93"/>
      <c r="H158" s="93"/>
      <c r="I158" s="183" t="s">
        <v>363</v>
      </c>
      <c r="J158" s="133" t="s">
        <v>363</v>
      </c>
    </row>
    <row r="159" spans="1:10">
      <c r="A159" s="92"/>
      <c r="B159" s="93" t="s">
        <v>440</v>
      </c>
      <c r="C159" s="93"/>
      <c r="D159" s="93"/>
      <c r="E159" s="93"/>
      <c r="F159" s="93"/>
      <c r="G159" s="93"/>
      <c r="H159" s="93"/>
      <c r="I159" s="183" t="s">
        <v>363</v>
      </c>
      <c r="J159" s="133" t="s">
        <v>363</v>
      </c>
    </row>
    <row r="160" spans="1:10">
      <c r="A160" s="92"/>
      <c r="B160" s="93" t="s">
        <v>441</v>
      </c>
      <c r="C160" s="93"/>
      <c r="D160" s="93"/>
      <c r="E160" s="93"/>
      <c r="F160" s="93"/>
      <c r="G160" s="93"/>
      <c r="H160" s="93"/>
      <c r="I160" s="184">
        <v>0.025</v>
      </c>
      <c r="J160" s="121">
        <f>ROUND(($J$151/(1-$I$163))*I160,2)</f>
        <v>94.22</v>
      </c>
    </row>
    <row r="161" spans="1:10">
      <c r="A161" s="96" t="s">
        <v>338</v>
      </c>
      <c r="B161" s="96"/>
      <c r="C161" s="96"/>
      <c r="D161" s="96"/>
      <c r="E161" s="96"/>
      <c r="F161" s="96"/>
      <c r="G161" s="96"/>
      <c r="H161" s="96"/>
      <c r="I161" s="96"/>
      <c r="J161" s="119">
        <f>SUM(J148+J150+J154+J155+J160)</f>
        <v>593.87</v>
      </c>
    </row>
    <row r="162" spans="1:10">
      <c r="A162" s="77"/>
      <c r="B162" s="77"/>
      <c r="C162" s="77"/>
      <c r="D162" s="77"/>
      <c r="E162" s="77"/>
      <c r="F162" s="77"/>
      <c r="G162" s="77"/>
      <c r="H162" s="77"/>
      <c r="I162" s="77"/>
      <c r="J162" s="77"/>
    </row>
    <row r="163" spans="1:10">
      <c r="A163" s="78" t="s">
        <v>442</v>
      </c>
      <c r="B163" s="78"/>
      <c r="C163" s="78"/>
      <c r="D163" s="78"/>
      <c r="E163" s="78"/>
      <c r="F163" s="78"/>
      <c r="G163" s="78"/>
      <c r="H163" s="78"/>
      <c r="I163" s="185">
        <f>SUM(I154:I160)</f>
        <v>0.0615</v>
      </c>
      <c r="J163" s="178">
        <f>SUM(J154:J160)</f>
        <v>231.78</v>
      </c>
    </row>
    <row r="164" spans="1:10">
      <c r="A164" s="148" t="s">
        <v>443</v>
      </c>
      <c r="B164" s="148"/>
      <c r="C164" s="148"/>
      <c r="D164" s="149" t="s">
        <v>444</v>
      </c>
      <c r="E164" s="149"/>
      <c r="F164" s="149"/>
      <c r="G164" s="149"/>
      <c r="H164" s="149"/>
      <c r="I164" s="149"/>
      <c r="J164" s="149"/>
    </row>
    <row r="165" spans="1:10">
      <c r="A165" s="148"/>
      <c r="B165" s="148"/>
      <c r="C165" s="148"/>
      <c r="D165" s="149" t="s">
        <v>445</v>
      </c>
      <c r="E165" s="149"/>
      <c r="F165" s="149"/>
      <c r="G165" s="149"/>
      <c r="H165" s="149"/>
      <c r="I165" s="149"/>
      <c r="J165" s="149"/>
    </row>
    <row r="166" spans="1:10">
      <c r="A166" s="148"/>
      <c r="B166" s="148"/>
      <c r="C166" s="148"/>
      <c r="D166" s="149" t="s">
        <v>446</v>
      </c>
      <c r="E166" s="149"/>
      <c r="F166" s="149"/>
      <c r="G166" s="149"/>
      <c r="H166" s="149"/>
      <c r="I166" s="149"/>
      <c r="J166" s="149"/>
    </row>
    <row r="167" spans="1:10">
      <c r="A167" s="77"/>
      <c r="B167" s="77"/>
      <c r="C167" s="77"/>
      <c r="D167" s="77"/>
      <c r="E167" s="77"/>
      <c r="F167" s="77"/>
      <c r="G167" s="77"/>
      <c r="H167" s="77"/>
      <c r="I167" s="77"/>
      <c r="J167" s="77"/>
    </row>
    <row r="168" spans="1:10">
      <c r="A168" s="71" t="s">
        <v>447</v>
      </c>
      <c r="B168" s="71"/>
      <c r="C168" s="71"/>
      <c r="D168" s="71"/>
      <c r="E168" s="71"/>
      <c r="F168" s="71"/>
      <c r="G168" s="71"/>
      <c r="H168" s="71"/>
      <c r="I168" s="71"/>
      <c r="J168" s="71"/>
    </row>
    <row r="169" spans="1:10">
      <c r="A169" s="77"/>
      <c r="B169" s="77"/>
      <c r="C169" s="77"/>
      <c r="D169" s="77"/>
      <c r="E169" s="77"/>
      <c r="F169" s="77"/>
      <c r="G169" s="77"/>
      <c r="H169" s="77"/>
      <c r="I169" s="77"/>
      <c r="J169" s="77"/>
    </row>
    <row r="170" ht="15.75" spans="1:10">
      <c r="A170" s="150" t="s">
        <v>448</v>
      </c>
      <c r="B170" s="150"/>
      <c r="C170" s="150"/>
      <c r="D170" s="150"/>
      <c r="E170" s="150"/>
      <c r="F170" s="150"/>
      <c r="G170" s="150"/>
      <c r="H170" s="150"/>
      <c r="I170" s="150"/>
      <c r="J170" s="150"/>
    </row>
    <row r="171" spans="1:10">
      <c r="A171" s="151" t="s">
        <v>449</v>
      </c>
      <c r="B171" s="151"/>
      <c r="C171" s="151"/>
      <c r="D171" s="151"/>
      <c r="E171" s="151"/>
      <c r="F171" s="151"/>
      <c r="G171" s="151"/>
      <c r="H171" s="151"/>
      <c r="I171" s="151"/>
      <c r="J171" s="70" t="s">
        <v>335</v>
      </c>
    </row>
    <row r="172" spans="1:10">
      <c r="A172" s="152" t="s">
        <v>262</v>
      </c>
      <c r="B172" s="153" t="s">
        <v>450</v>
      </c>
      <c r="C172" s="153"/>
      <c r="D172" s="153"/>
      <c r="E172" s="153"/>
      <c r="F172" s="153"/>
      <c r="G172" s="153"/>
      <c r="H172" s="153"/>
      <c r="I172" s="153"/>
      <c r="J172" s="174">
        <f>J41</f>
        <v>1625.936</v>
      </c>
    </row>
    <row r="173" spans="1:10">
      <c r="A173" s="152" t="s">
        <v>264</v>
      </c>
      <c r="B173" s="153" t="s">
        <v>331</v>
      </c>
      <c r="C173" s="153"/>
      <c r="D173" s="153"/>
      <c r="E173" s="153"/>
      <c r="F173" s="153"/>
      <c r="G173" s="153"/>
      <c r="H173" s="153"/>
      <c r="I173" s="153"/>
      <c r="J173" s="174">
        <f>J92</f>
        <v>1335.15</v>
      </c>
    </row>
    <row r="174" spans="1:10">
      <c r="A174" s="152" t="s">
        <v>266</v>
      </c>
      <c r="B174" s="153" t="s">
        <v>451</v>
      </c>
      <c r="C174" s="153"/>
      <c r="D174" s="153"/>
      <c r="E174" s="153"/>
      <c r="F174" s="153"/>
      <c r="G174" s="153"/>
      <c r="H174" s="153"/>
      <c r="I174" s="153"/>
      <c r="J174" s="174">
        <f>J102</f>
        <v>87.52</v>
      </c>
    </row>
    <row r="175" spans="1:10">
      <c r="A175" s="152" t="s">
        <v>268</v>
      </c>
      <c r="B175" s="153" t="s">
        <v>452</v>
      </c>
      <c r="C175" s="153"/>
      <c r="D175" s="153"/>
      <c r="E175" s="153"/>
      <c r="F175" s="153"/>
      <c r="G175" s="153"/>
      <c r="H175" s="153"/>
      <c r="I175" s="153"/>
      <c r="J175" s="174">
        <f>J133</f>
        <v>63.15</v>
      </c>
    </row>
    <row r="176" spans="1:10">
      <c r="A176" s="152" t="s">
        <v>323</v>
      </c>
      <c r="B176" s="153" t="s">
        <v>453</v>
      </c>
      <c r="C176" s="153"/>
      <c r="D176" s="153"/>
      <c r="E176" s="153"/>
      <c r="F176" s="153"/>
      <c r="G176" s="153"/>
      <c r="H176" s="153"/>
      <c r="I176" s="153"/>
      <c r="J176" s="137">
        <f>J141</f>
        <v>63.0483333333333</v>
      </c>
    </row>
    <row r="177" spans="1:10">
      <c r="A177" s="154" t="s">
        <v>454</v>
      </c>
      <c r="B177" s="154"/>
      <c r="C177" s="154"/>
      <c r="D177" s="154"/>
      <c r="E177" s="154"/>
      <c r="F177" s="154"/>
      <c r="G177" s="154"/>
      <c r="H177" s="154"/>
      <c r="I177" s="154"/>
      <c r="J177" s="175">
        <f>SUM(J172:J176)</f>
        <v>3174.80433333333</v>
      </c>
    </row>
    <row r="178" spans="1:10">
      <c r="A178" s="152" t="s">
        <v>325</v>
      </c>
      <c r="B178" s="153" t="s">
        <v>455</v>
      </c>
      <c r="C178" s="153"/>
      <c r="D178" s="153"/>
      <c r="E178" s="153"/>
      <c r="F178" s="153"/>
      <c r="G178" s="153"/>
      <c r="H178" s="153"/>
      <c r="I178" s="153"/>
      <c r="J178" s="174">
        <f>J161</f>
        <v>593.87</v>
      </c>
    </row>
    <row r="179" spans="1:10">
      <c r="A179" s="154" t="s">
        <v>456</v>
      </c>
      <c r="B179" s="154"/>
      <c r="C179" s="154"/>
      <c r="D179" s="154"/>
      <c r="E179" s="154"/>
      <c r="F179" s="154"/>
      <c r="G179" s="154"/>
      <c r="H179" s="154"/>
      <c r="I179" s="154"/>
      <c r="J179" s="175">
        <f>SUM(J177:J178)</f>
        <v>3768.67433333333</v>
      </c>
    </row>
    <row r="180" ht="15.75" spans="1:10">
      <c r="A180" s="155" t="s">
        <v>457</v>
      </c>
      <c r="B180" s="155"/>
      <c r="C180" s="155"/>
      <c r="D180" s="155"/>
      <c r="E180" s="155"/>
      <c r="F180" s="155"/>
      <c r="G180" s="155"/>
      <c r="H180" s="155"/>
      <c r="I180" s="155"/>
      <c r="J180" s="155"/>
    </row>
    <row r="181" spans="1:10">
      <c r="A181" s="64" t="s">
        <v>458</v>
      </c>
      <c r="B181" s="64"/>
      <c r="C181" s="64"/>
      <c r="D181" s="64"/>
      <c r="E181" s="64"/>
      <c r="F181" s="64"/>
      <c r="G181" s="64"/>
      <c r="H181" s="64"/>
      <c r="I181" s="64"/>
      <c r="J181" s="64"/>
    </row>
    <row r="182" ht="46.5" customHeight="1" spans="1:10">
      <c r="A182" s="156" t="s">
        <v>460</v>
      </c>
      <c r="B182" s="156"/>
      <c r="C182" s="156"/>
      <c r="D182" s="157" t="s">
        <v>461</v>
      </c>
      <c r="E182" s="158"/>
      <c r="F182" s="159"/>
      <c r="G182" s="160" t="s">
        <v>462</v>
      </c>
      <c r="H182" s="161"/>
      <c r="I182" s="186" t="s">
        <v>463</v>
      </c>
      <c r="J182" s="187"/>
    </row>
    <row r="183" spans="1:10">
      <c r="A183" s="71" t="s">
        <v>592</v>
      </c>
      <c r="B183" s="71"/>
      <c r="C183" s="71"/>
      <c r="D183" s="162">
        <v>1</v>
      </c>
      <c r="E183" s="163">
        <v>30</v>
      </c>
      <c r="F183" s="163">
        <f>E184</f>
        <v>300</v>
      </c>
      <c r="G183" s="164">
        <v>0</v>
      </c>
      <c r="H183" s="164"/>
      <c r="I183" s="188">
        <f>G183/F183/E183</f>
        <v>0</v>
      </c>
      <c r="J183" s="188"/>
    </row>
    <row r="184" spans="1:10">
      <c r="A184" s="71" t="s">
        <v>593</v>
      </c>
      <c r="B184" s="71"/>
      <c r="C184" s="71"/>
      <c r="D184" s="162">
        <v>1</v>
      </c>
      <c r="E184" s="165">
        <f>'[1]Cálc. mão obra banheiros'!$C$2</f>
        <v>300</v>
      </c>
      <c r="F184" s="165"/>
      <c r="G184" s="166">
        <v>0</v>
      </c>
      <c r="H184" s="166"/>
      <c r="I184" s="188">
        <v>0</v>
      </c>
      <c r="J184" s="188"/>
    </row>
    <row r="185" spans="1:10">
      <c r="A185" s="98" t="s">
        <v>466</v>
      </c>
      <c r="B185" s="98"/>
      <c r="C185" s="98"/>
      <c r="D185" s="98"/>
      <c r="E185" s="98"/>
      <c r="F185" s="98"/>
      <c r="G185" s="98"/>
      <c r="H185" s="98"/>
      <c r="I185" s="188">
        <f>SUM(I183+I184)</f>
        <v>0</v>
      </c>
      <c r="J185" s="188"/>
    </row>
    <row r="186" spans="1:10">
      <c r="A186" s="167"/>
      <c r="B186" s="167"/>
      <c r="C186" s="167"/>
      <c r="D186" s="167"/>
      <c r="E186" s="167"/>
      <c r="F186" s="167"/>
      <c r="G186" s="167"/>
      <c r="H186" s="167"/>
      <c r="I186" s="167"/>
      <c r="J186" s="167"/>
    </row>
    <row r="187" spans="1:10">
      <c r="A187" s="168"/>
      <c r="B187" s="168"/>
      <c r="C187" s="168"/>
      <c r="D187" s="168"/>
      <c r="E187" s="168"/>
      <c r="F187" s="168"/>
      <c r="G187" s="168"/>
      <c r="H187" s="168"/>
      <c r="I187" s="168"/>
      <c r="J187" s="168"/>
    </row>
    <row r="188" spans="1:10">
      <c r="A188" s="79" t="s">
        <v>594</v>
      </c>
      <c r="B188" s="79"/>
      <c r="C188" s="79"/>
      <c r="D188" s="79"/>
      <c r="E188" s="79"/>
      <c r="F188" s="79"/>
      <c r="G188" s="79"/>
      <c r="H188" s="79"/>
      <c r="I188" s="79"/>
      <c r="J188" s="79"/>
    </row>
    <row r="189" ht="15.75" spans="1:10">
      <c r="A189" s="147" t="s">
        <v>531</v>
      </c>
      <c r="B189" s="147"/>
      <c r="C189" s="147"/>
      <c r="D189" s="147"/>
      <c r="E189" s="147"/>
      <c r="F189" s="147"/>
      <c r="G189" s="147"/>
      <c r="H189" s="147"/>
      <c r="I189" s="147"/>
      <c r="J189" s="147"/>
    </row>
    <row r="190" ht="25.5" spans="1:10">
      <c r="A190" s="130" t="s">
        <v>19</v>
      </c>
      <c r="B190" s="130"/>
      <c r="C190" s="130"/>
      <c r="D190" s="130"/>
      <c r="E190" s="130"/>
      <c r="F190" s="70" t="s">
        <v>532</v>
      </c>
      <c r="G190" s="70"/>
      <c r="H190" s="70" t="s">
        <v>533</v>
      </c>
      <c r="I190" s="70" t="s">
        <v>534</v>
      </c>
      <c r="J190" s="70"/>
    </row>
    <row r="191" spans="1:10">
      <c r="A191" s="169" t="s">
        <v>595</v>
      </c>
      <c r="B191" s="169"/>
      <c r="C191" s="169"/>
      <c r="D191" s="169"/>
      <c r="E191" s="169"/>
      <c r="F191" s="170">
        <f>I185</f>
        <v>0</v>
      </c>
      <c r="G191" s="170"/>
      <c r="H191" s="171">
        <f>I14</f>
        <v>0</v>
      </c>
      <c r="I191" s="174">
        <f>ROUND(F191*H191,2)</f>
        <v>0</v>
      </c>
      <c r="J191" s="174"/>
    </row>
    <row r="192" spans="1:10">
      <c r="A192" s="172" t="s">
        <v>596</v>
      </c>
      <c r="B192" s="172"/>
      <c r="C192" s="172"/>
      <c r="D192" s="172"/>
      <c r="E192" s="172"/>
      <c r="F192" s="172"/>
      <c r="G192" s="172"/>
      <c r="H192" s="173">
        <f>H191</f>
        <v>0</v>
      </c>
      <c r="I192" s="107">
        <f>SUM(I191:I191)</f>
        <v>0</v>
      </c>
      <c r="J192" s="107"/>
    </row>
    <row r="193" spans="1:10">
      <c r="A193" s="168"/>
      <c r="B193" s="168"/>
      <c r="C193" s="168"/>
      <c r="D193" s="168"/>
      <c r="E193" s="168"/>
      <c r="F193" s="168"/>
      <c r="G193" s="168"/>
      <c r="H193" s="168"/>
      <c r="I193" s="168"/>
      <c r="J193" s="168"/>
    </row>
    <row r="194" spans="1:10">
      <c r="A194" s="189" t="s">
        <v>301</v>
      </c>
      <c r="B194" s="189"/>
      <c r="C194" s="189"/>
      <c r="D194" s="189"/>
      <c r="E194" s="189"/>
      <c r="F194" s="189"/>
      <c r="G194" s="189"/>
      <c r="H194" s="171">
        <f>J16</f>
        <v>0</v>
      </c>
      <c r="I194" s="174">
        <f>J194</f>
        <v>0</v>
      </c>
      <c r="J194" s="174"/>
    </row>
    <row r="195" spans="1:10">
      <c r="A195" s="190" t="s">
        <v>302</v>
      </c>
      <c r="B195" s="190"/>
      <c r="C195" s="190"/>
      <c r="D195" s="190"/>
      <c r="E195" s="190"/>
      <c r="F195" s="190"/>
      <c r="G195" s="190"/>
      <c r="H195" s="191">
        <f>H194</f>
        <v>0</v>
      </c>
      <c r="I195" s="197">
        <f>I194</f>
        <v>0</v>
      </c>
      <c r="J195" s="197"/>
    </row>
    <row r="196" spans="1:10">
      <c r="A196" s="168"/>
      <c r="B196" s="168"/>
      <c r="C196" s="168"/>
      <c r="D196" s="168"/>
      <c r="E196" s="168"/>
      <c r="F196" s="168"/>
      <c r="G196" s="168"/>
      <c r="H196" s="168"/>
      <c r="I196" s="168"/>
      <c r="J196" s="168"/>
    </row>
    <row r="197" spans="1:10">
      <c r="A197" s="192" t="s">
        <v>466</v>
      </c>
      <c r="B197" s="192"/>
      <c r="C197" s="192"/>
      <c r="D197" s="192"/>
      <c r="E197" s="192"/>
      <c r="F197" s="192"/>
      <c r="G197" s="192"/>
      <c r="H197" s="191">
        <f>ROUND(H192+H195,2)</f>
        <v>0</v>
      </c>
      <c r="I197" s="197">
        <f>SUM(I192+I195)</f>
        <v>0</v>
      </c>
      <c r="J197" s="197"/>
    </row>
    <row r="198" spans="1:10">
      <c r="A198" s="168"/>
      <c r="B198" s="168"/>
      <c r="C198" s="168"/>
      <c r="D198" s="168"/>
      <c r="E198" s="168"/>
      <c r="F198" s="168"/>
      <c r="G198" s="168"/>
      <c r="H198" s="168"/>
      <c r="I198" s="168"/>
      <c r="J198" s="168"/>
    </row>
    <row r="199" ht="18" spans="1:10">
      <c r="A199" s="193" t="s">
        <v>548</v>
      </c>
      <c r="B199" s="193"/>
      <c r="C199" s="193"/>
      <c r="D199" s="193"/>
      <c r="E199" s="193"/>
      <c r="F199" s="193"/>
      <c r="G199" s="193"/>
      <c r="H199" s="193"/>
      <c r="I199" s="198">
        <f>J179</f>
        <v>3768.67433333333</v>
      </c>
      <c r="J199" s="198"/>
    </row>
    <row r="200" spans="1:10">
      <c r="A200" s="168"/>
      <c r="B200" s="168"/>
      <c r="C200" s="168"/>
      <c r="D200" s="168"/>
      <c r="E200" s="168"/>
      <c r="F200" s="168"/>
      <c r="G200" s="168"/>
      <c r="H200" s="168"/>
      <c r="I200" s="168"/>
      <c r="J200" s="168"/>
    </row>
    <row r="201" ht="18" spans="1:10">
      <c r="A201" s="193" t="s">
        <v>549</v>
      </c>
      <c r="B201" s="193"/>
      <c r="C201" s="193"/>
      <c r="D201" s="193"/>
      <c r="E201" s="193"/>
      <c r="F201" s="193"/>
      <c r="G201" s="193"/>
      <c r="H201" s="193"/>
      <c r="I201" s="198">
        <f>H11</f>
        <v>20</v>
      </c>
      <c r="J201" s="198"/>
    </row>
    <row r="202" spans="1:10">
      <c r="A202" s="168"/>
      <c r="B202" s="168"/>
      <c r="C202" s="168"/>
      <c r="D202" s="168"/>
      <c r="E202" s="168"/>
      <c r="F202" s="168"/>
      <c r="G202" s="168"/>
      <c r="H202" s="168"/>
      <c r="I202" s="168"/>
      <c r="J202" s="168"/>
    </row>
    <row r="203" ht="18" spans="1:10">
      <c r="A203" s="194" t="s">
        <v>550</v>
      </c>
      <c r="B203" s="194"/>
      <c r="C203" s="194"/>
      <c r="D203" s="194"/>
      <c r="E203" s="194"/>
      <c r="F203" s="194"/>
      <c r="G203" s="194"/>
      <c r="H203" s="194"/>
      <c r="I203" s="198">
        <f>ROUND(I199*I201,2)</f>
        <v>75373.49</v>
      </c>
      <c r="J203" s="198"/>
    </row>
    <row r="204" spans="1:10">
      <c r="A204" s="168"/>
      <c r="B204" s="168"/>
      <c r="C204" s="168"/>
      <c r="D204" s="168"/>
      <c r="E204" s="168"/>
      <c r="F204" s="168"/>
      <c r="G204" s="168"/>
      <c r="H204" s="168"/>
      <c r="I204" s="168"/>
      <c r="J204" s="168"/>
    </row>
    <row r="205" spans="1:10">
      <c r="A205" s="64" t="s">
        <v>565</v>
      </c>
      <c r="B205" s="64"/>
      <c r="C205" s="64"/>
      <c r="D205" s="64"/>
      <c r="E205" s="64"/>
      <c r="F205" s="64"/>
      <c r="G205" s="64"/>
      <c r="H205" s="64"/>
      <c r="I205" s="64"/>
      <c r="J205" s="64"/>
    </row>
    <row r="206" spans="1:10">
      <c r="A206" s="130" t="s">
        <v>552</v>
      </c>
      <c r="B206" s="130"/>
      <c r="C206" s="130"/>
      <c r="D206" s="130"/>
      <c r="E206" s="130"/>
      <c r="F206" s="130"/>
      <c r="G206" s="130" t="s">
        <v>553</v>
      </c>
      <c r="H206" s="130"/>
      <c r="I206" s="130"/>
      <c r="J206" s="130"/>
    </row>
    <row r="207" spans="1:10">
      <c r="A207" s="74" t="s">
        <v>554</v>
      </c>
      <c r="B207" s="74"/>
      <c r="C207" s="74"/>
      <c r="D207" s="74"/>
      <c r="E207" s="74"/>
      <c r="F207" s="74"/>
      <c r="G207" s="75">
        <f>'[1]Cálc. mão obra banheiros'!$L$6</f>
        <v>4.50970555555556</v>
      </c>
      <c r="H207" s="75"/>
      <c r="I207" s="75"/>
      <c r="J207" s="75"/>
    </row>
    <row r="208" spans="1:10">
      <c r="A208" s="168"/>
      <c r="B208" s="168"/>
      <c r="C208" s="168"/>
      <c r="D208" s="168"/>
      <c r="E208" s="168"/>
      <c r="F208" s="168"/>
      <c r="G208" s="168"/>
      <c r="H208" s="168"/>
      <c r="I208" s="168"/>
      <c r="J208" s="168"/>
    </row>
    <row r="209" ht="32.25" customHeight="1" spans="1:10">
      <c r="A209" s="64" t="s">
        <v>597</v>
      </c>
      <c r="B209" s="64"/>
      <c r="C209" s="64"/>
      <c r="D209" s="64"/>
      <c r="E209" s="64"/>
      <c r="F209" s="64"/>
      <c r="G209" s="64"/>
      <c r="H209" s="64"/>
      <c r="I209" s="64"/>
      <c r="J209" s="64"/>
    </row>
    <row r="210" spans="1:10">
      <c r="A210" s="70" t="s">
        <v>557</v>
      </c>
      <c r="B210" s="70"/>
      <c r="C210" s="70"/>
      <c r="D210" s="70"/>
      <c r="E210" s="70"/>
      <c r="F210" s="70"/>
      <c r="G210" s="70"/>
      <c r="H210" s="70"/>
      <c r="I210" s="70"/>
      <c r="J210" s="70" t="s">
        <v>558</v>
      </c>
    </row>
    <row r="211" ht="15" spans="1:10">
      <c r="A211" s="195"/>
      <c r="B211" s="195"/>
      <c r="C211" s="195"/>
      <c r="D211" s="195"/>
      <c r="E211" s="195"/>
      <c r="F211" s="195"/>
      <c r="G211" s="195"/>
      <c r="H211" s="195"/>
      <c r="I211" s="195"/>
      <c r="J211" s="67"/>
    </row>
    <row r="212" spans="1:10">
      <c r="A212" s="169"/>
      <c r="B212" s="169"/>
      <c r="C212" s="169"/>
      <c r="D212" s="169"/>
      <c r="E212" s="169"/>
      <c r="F212" s="169"/>
      <c r="G212" s="169"/>
      <c r="H212" s="169"/>
      <c r="I212" s="169"/>
      <c r="J212" s="67"/>
    </row>
    <row r="213" spans="1:10">
      <c r="A213" s="196"/>
      <c r="B213" s="196"/>
      <c r="C213" s="196"/>
      <c r="D213" s="196"/>
      <c r="E213" s="196"/>
      <c r="F213" s="196"/>
      <c r="G213" s="196"/>
      <c r="H213" s="196"/>
      <c r="I213" s="196"/>
      <c r="J213" s="67"/>
    </row>
  </sheetData>
  <mergeCells count="255">
    <mergeCell ref="A1:J1"/>
    <mergeCell ref="A2:J2"/>
    <mergeCell ref="A3:D3"/>
    <mergeCell ref="E3:J3"/>
    <mergeCell ref="A4:G4"/>
    <mergeCell ref="H4:J4"/>
    <mergeCell ref="A5:G5"/>
    <mergeCell ref="H5:J5"/>
    <mergeCell ref="A6:J6"/>
    <mergeCell ref="A7:J7"/>
    <mergeCell ref="B8:G8"/>
    <mergeCell ref="H8:J8"/>
    <mergeCell ref="B9:G9"/>
    <mergeCell ref="H9:J9"/>
    <mergeCell ref="B10:G10"/>
    <mergeCell ref="H10:J10"/>
    <mergeCell ref="B11:G11"/>
    <mergeCell ref="H11:J11"/>
    <mergeCell ref="A12:J12"/>
    <mergeCell ref="A13:F13"/>
    <mergeCell ref="G13:H13"/>
    <mergeCell ref="I13:J13"/>
    <mergeCell ref="A14:F14"/>
    <mergeCell ref="G14:H14"/>
    <mergeCell ref="I14:J14"/>
    <mergeCell ref="A15:H15"/>
    <mergeCell ref="I15:J15"/>
    <mergeCell ref="A16:G16"/>
    <mergeCell ref="H16:I16"/>
    <mergeCell ref="A17:I17"/>
    <mergeCell ref="A18:J18"/>
    <mergeCell ref="A19:I19"/>
    <mergeCell ref="A20:J20"/>
    <mergeCell ref="A21:J21"/>
    <mergeCell ref="A22:J22"/>
    <mergeCell ref="A23:J23"/>
    <mergeCell ref="A24:J24"/>
    <mergeCell ref="A25:J25"/>
    <mergeCell ref="B26:G26"/>
    <mergeCell ref="H26:J26"/>
    <mergeCell ref="B27:G27"/>
    <mergeCell ref="H27:J27"/>
    <mergeCell ref="B28:G28"/>
    <mergeCell ref="H28:J28"/>
    <mergeCell ref="B29:G29"/>
    <mergeCell ref="H29:J29"/>
    <mergeCell ref="B30:G30"/>
    <mergeCell ref="H30:J30"/>
    <mergeCell ref="A31:J31"/>
    <mergeCell ref="A32:J32"/>
    <mergeCell ref="A33:J33"/>
    <mergeCell ref="A34:J34"/>
    <mergeCell ref="B35:G35"/>
    <mergeCell ref="H35:I35"/>
    <mergeCell ref="B36:I36"/>
    <mergeCell ref="B37:I37"/>
    <mergeCell ref="B38:H38"/>
    <mergeCell ref="B39:I39"/>
    <mergeCell ref="B40:I40"/>
    <mergeCell ref="A41:I41"/>
    <mergeCell ref="A42:J42"/>
    <mergeCell ref="A43:J43"/>
    <mergeCell ref="A44:J44"/>
    <mergeCell ref="A45:J45"/>
    <mergeCell ref="A46:J46"/>
    <mergeCell ref="B47:I47"/>
    <mergeCell ref="B48:I48"/>
    <mergeCell ref="B49:I49"/>
    <mergeCell ref="A50:I50"/>
    <mergeCell ref="B51:I51"/>
    <mergeCell ref="A52:I52"/>
    <mergeCell ref="A53:J53"/>
    <mergeCell ref="A54:J54"/>
    <mergeCell ref="A55:J55"/>
    <mergeCell ref="A56:J56"/>
    <mergeCell ref="B57:H57"/>
    <mergeCell ref="B58:H58"/>
    <mergeCell ref="B59:H59"/>
    <mergeCell ref="B60:D60"/>
    <mergeCell ref="B61:H61"/>
    <mergeCell ref="B62:H62"/>
    <mergeCell ref="B63:H63"/>
    <mergeCell ref="B64:H64"/>
    <mergeCell ref="B65:H65"/>
    <mergeCell ref="A66:H66"/>
    <mergeCell ref="A67:J67"/>
    <mergeCell ref="A68:J68"/>
    <mergeCell ref="A69:J69"/>
    <mergeCell ref="A70:J70"/>
    <mergeCell ref="B71:I71"/>
    <mergeCell ref="B72:I72"/>
    <mergeCell ref="B73:H73"/>
    <mergeCell ref="B74:H74"/>
    <mergeCell ref="B75:H75"/>
    <mergeCell ref="B76:I76"/>
    <mergeCell ref="B77:H77"/>
    <mergeCell ref="B78:H78"/>
    <mergeCell ref="B79:I79"/>
    <mergeCell ref="B80:I80"/>
    <mergeCell ref="B81:I81"/>
    <mergeCell ref="B82:I82"/>
    <mergeCell ref="A83:I83"/>
    <mergeCell ref="A84:J84"/>
    <mergeCell ref="A85:J85"/>
    <mergeCell ref="A86:J86"/>
    <mergeCell ref="A87:J87"/>
    <mergeCell ref="B88:I88"/>
    <mergeCell ref="B89:I89"/>
    <mergeCell ref="B90:I90"/>
    <mergeCell ref="B91:I91"/>
    <mergeCell ref="A92:I92"/>
    <mergeCell ref="A93:J93"/>
    <mergeCell ref="A94:J94"/>
    <mergeCell ref="B95:I95"/>
    <mergeCell ref="B96:I96"/>
    <mergeCell ref="B97:I97"/>
    <mergeCell ref="B98:I98"/>
    <mergeCell ref="B99:I99"/>
    <mergeCell ref="B100:I100"/>
    <mergeCell ref="B101:I101"/>
    <mergeCell ref="A102:I102"/>
    <mergeCell ref="A103:J103"/>
    <mergeCell ref="A104:J104"/>
    <mergeCell ref="A105:J105"/>
    <mergeCell ref="A106:I106"/>
    <mergeCell ref="A107:J107"/>
    <mergeCell ref="B108:I108"/>
    <mergeCell ref="B109:I109"/>
    <mergeCell ref="B110:I110"/>
    <mergeCell ref="B111:I111"/>
    <mergeCell ref="B112:I112"/>
    <mergeCell ref="B113:I113"/>
    <mergeCell ref="B114:I114"/>
    <mergeCell ref="A115:I115"/>
    <mergeCell ref="B116:I116"/>
    <mergeCell ref="A117:I117"/>
    <mergeCell ref="A118:J118"/>
    <mergeCell ref="A119:J119"/>
    <mergeCell ref="A120:J120"/>
    <mergeCell ref="B121:I121"/>
    <mergeCell ref="B122:I122"/>
    <mergeCell ref="A123:I123"/>
    <mergeCell ref="B124:I124"/>
    <mergeCell ref="A125:I125"/>
    <mergeCell ref="A126:J126"/>
    <mergeCell ref="A127:J127"/>
    <mergeCell ref="A128:J128"/>
    <mergeCell ref="A129:J129"/>
    <mergeCell ref="B130:I130"/>
    <mergeCell ref="B131:I131"/>
    <mergeCell ref="B132:I132"/>
    <mergeCell ref="A133:I133"/>
    <mergeCell ref="A134:J134"/>
    <mergeCell ref="A135:J135"/>
    <mergeCell ref="B136:I136"/>
    <mergeCell ref="B137:I137"/>
    <mergeCell ref="B138:I138"/>
    <mergeCell ref="B139:I139"/>
    <mergeCell ref="B140:I140"/>
    <mergeCell ref="A141:I141"/>
    <mergeCell ref="A142:J142"/>
    <mergeCell ref="A143:J143"/>
    <mergeCell ref="A144:J144"/>
    <mergeCell ref="A145:J145"/>
    <mergeCell ref="B146:H146"/>
    <mergeCell ref="A147:H147"/>
    <mergeCell ref="B148:H148"/>
    <mergeCell ref="A149:H149"/>
    <mergeCell ref="B150:H150"/>
    <mergeCell ref="A151:H151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A161:I161"/>
    <mergeCell ref="A162:J162"/>
    <mergeCell ref="A163:H163"/>
    <mergeCell ref="D164:J164"/>
    <mergeCell ref="D165:J165"/>
    <mergeCell ref="D166:J166"/>
    <mergeCell ref="A167:J167"/>
    <mergeCell ref="A168:J168"/>
    <mergeCell ref="A169:J169"/>
    <mergeCell ref="A170:J170"/>
    <mergeCell ref="A171:I171"/>
    <mergeCell ref="B172:I172"/>
    <mergeCell ref="B173:I173"/>
    <mergeCell ref="B174:I174"/>
    <mergeCell ref="B175:I175"/>
    <mergeCell ref="B176:I176"/>
    <mergeCell ref="A177:I177"/>
    <mergeCell ref="B178:I178"/>
    <mergeCell ref="A179:I179"/>
    <mergeCell ref="A180:J180"/>
    <mergeCell ref="A181:J181"/>
    <mergeCell ref="A182:C182"/>
    <mergeCell ref="D182:F182"/>
    <mergeCell ref="G182:H182"/>
    <mergeCell ref="I182:J182"/>
    <mergeCell ref="A183:C183"/>
    <mergeCell ref="G183:H183"/>
    <mergeCell ref="I183:J183"/>
    <mergeCell ref="A184:C184"/>
    <mergeCell ref="E184:F184"/>
    <mergeCell ref="G184:H184"/>
    <mergeCell ref="I184:J184"/>
    <mergeCell ref="A185:H185"/>
    <mergeCell ref="I185:J185"/>
    <mergeCell ref="A186:J186"/>
    <mergeCell ref="A187:J187"/>
    <mergeCell ref="A188:J188"/>
    <mergeCell ref="A189:J189"/>
    <mergeCell ref="A190:E190"/>
    <mergeCell ref="F190:G190"/>
    <mergeCell ref="I190:J190"/>
    <mergeCell ref="A191:E191"/>
    <mergeCell ref="F191:G191"/>
    <mergeCell ref="I191:J191"/>
    <mergeCell ref="A192:G192"/>
    <mergeCell ref="I192:J192"/>
    <mergeCell ref="A193:J193"/>
    <mergeCell ref="A194:G194"/>
    <mergeCell ref="I194:J194"/>
    <mergeCell ref="A195:G195"/>
    <mergeCell ref="I195:J195"/>
    <mergeCell ref="A196:J196"/>
    <mergeCell ref="A197:G197"/>
    <mergeCell ref="I197:J197"/>
    <mergeCell ref="A198:J198"/>
    <mergeCell ref="A199:H199"/>
    <mergeCell ref="I199:J199"/>
    <mergeCell ref="A200:J200"/>
    <mergeCell ref="A201:H201"/>
    <mergeCell ref="I201:J201"/>
    <mergeCell ref="A202:J202"/>
    <mergeCell ref="A203:H203"/>
    <mergeCell ref="I203:J203"/>
    <mergeCell ref="A204:J204"/>
    <mergeCell ref="A205:J205"/>
    <mergeCell ref="A206:F206"/>
    <mergeCell ref="G206:J206"/>
    <mergeCell ref="A207:F207"/>
    <mergeCell ref="G207:J207"/>
    <mergeCell ref="A208:J208"/>
    <mergeCell ref="A209:J209"/>
    <mergeCell ref="A210:I210"/>
    <mergeCell ref="A211:I211"/>
    <mergeCell ref="A212:I212"/>
    <mergeCell ref="A213:I213"/>
    <mergeCell ref="A164:C166"/>
  </mergeCells>
  <pageMargins left="0.75" right="0.75" top="1" bottom="1" header="0.511805555555556" footer="0.511805555555556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C000"/>
  </sheetPr>
  <dimension ref="B2:H41"/>
  <sheetViews>
    <sheetView showGridLines="0" zoomScale="90" zoomScaleNormal="90" workbookViewId="0">
      <selection activeCell="E14" sqref="E14:F14"/>
    </sheetView>
  </sheetViews>
  <sheetFormatPr defaultColWidth="9.14285714285714" defaultRowHeight="12.75" outlineLevelCol="7"/>
  <cols>
    <col min="1" max="1" width="1.14285714285714" style="1" customWidth="1"/>
    <col min="2" max="2" width="3.71428571428571" style="1" customWidth="1"/>
    <col min="3" max="3" width="45.4285714285714" style="1" customWidth="1"/>
    <col min="4" max="4" width="23.7142857142857" style="1" customWidth="1"/>
    <col min="5" max="5" width="13.7142857142857" style="1" customWidth="1"/>
    <col min="6" max="6" width="9.14285714285714" style="1" customWidth="1"/>
    <col min="7" max="7" width="24" style="1" customWidth="1"/>
    <col min="8" max="8" width="0.857142857142857" style="1" customWidth="1"/>
    <col min="9" max="256" width="9.14285714285714" style="1"/>
    <col min="257" max="257" width="1.14285714285714" style="1" customWidth="1"/>
    <col min="258" max="258" width="3.71428571428571" style="1" customWidth="1"/>
    <col min="259" max="259" width="45.4285714285714" style="1" customWidth="1"/>
    <col min="260" max="260" width="23.7142857142857" style="1" customWidth="1"/>
    <col min="261" max="261" width="13.7142857142857" style="1" customWidth="1"/>
    <col min="262" max="262" width="9.14285714285714" style="1" customWidth="1"/>
    <col min="263" max="263" width="24" style="1" customWidth="1"/>
    <col min="264" max="512" width="9.14285714285714" style="1"/>
    <col min="513" max="513" width="1.14285714285714" style="1" customWidth="1"/>
    <col min="514" max="514" width="3.71428571428571" style="1" customWidth="1"/>
    <col min="515" max="515" width="45.4285714285714" style="1" customWidth="1"/>
    <col min="516" max="516" width="23.7142857142857" style="1" customWidth="1"/>
    <col min="517" max="517" width="13.7142857142857" style="1" customWidth="1"/>
    <col min="518" max="518" width="9.14285714285714" style="1" customWidth="1"/>
    <col min="519" max="519" width="24" style="1" customWidth="1"/>
    <col min="520" max="768" width="9.14285714285714" style="1"/>
    <col min="769" max="769" width="1.14285714285714" style="1" customWidth="1"/>
    <col min="770" max="770" width="3.71428571428571" style="1" customWidth="1"/>
    <col min="771" max="771" width="45.4285714285714" style="1" customWidth="1"/>
    <col min="772" max="772" width="23.7142857142857" style="1" customWidth="1"/>
    <col min="773" max="773" width="13.7142857142857" style="1" customWidth="1"/>
    <col min="774" max="774" width="9.14285714285714" style="1" customWidth="1"/>
    <col min="775" max="775" width="24" style="1" customWidth="1"/>
    <col min="776" max="1024" width="9.14285714285714" style="1"/>
    <col min="1025" max="1025" width="1.14285714285714" style="1" customWidth="1"/>
    <col min="1026" max="1026" width="3.71428571428571" style="1" customWidth="1"/>
    <col min="1027" max="1027" width="45.4285714285714" style="1" customWidth="1"/>
    <col min="1028" max="1028" width="23.7142857142857" style="1" customWidth="1"/>
    <col min="1029" max="1029" width="13.7142857142857" style="1" customWidth="1"/>
    <col min="1030" max="1030" width="9.14285714285714" style="1" customWidth="1"/>
    <col min="1031" max="1031" width="24" style="1" customWidth="1"/>
    <col min="1032" max="1280" width="9.14285714285714" style="1"/>
    <col min="1281" max="1281" width="1.14285714285714" style="1" customWidth="1"/>
    <col min="1282" max="1282" width="3.71428571428571" style="1" customWidth="1"/>
    <col min="1283" max="1283" width="45.4285714285714" style="1" customWidth="1"/>
    <col min="1284" max="1284" width="23.7142857142857" style="1" customWidth="1"/>
    <col min="1285" max="1285" width="13.7142857142857" style="1" customWidth="1"/>
    <col min="1286" max="1286" width="9.14285714285714" style="1" customWidth="1"/>
    <col min="1287" max="1287" width="24" style="1" customWidth="1"/>
    <col min="1288" max="1536" width="9.14285714285714" style="1"/>
    <col min="1537" max="1537" width="1.14285714285714" style="1" customWidth="1"/>
    <col min="1538" max="1538" width="3.71428571428571" style="1" customWidth="1"/>
    <col min="1539" max="1539" width="45.4285714285714" style="1" customWidth="1"/>
    <col min="1540" max="1540" width="23.7142857142857" style="1" customWidth="1"/>
    <col min="1541" max="1541" width="13.7142857142857" style="1" customWidth="1"/>
    <col min="1542" max="1542" width="9.14285714285714" style="1" customWidth="1"/>
    <col min="1543" max="1543" width="24" style="1" customWidth="1"/>
    <col min="1544" max="1792" width="9.14285714285714" style="1"/>
    <col min="1793" max="1793" width="1.14285714285714" style="1" customWidth="1"/>
    <col min="1794" max="1794" width="3.71428571428571" style="1" customWidth="1"/>
    <col min="1795" max="1795" width="45.4285714285714" style="1" customWidth="1"/>
    <col min="1796" max="1796" width="23.7142857142857" style="1" customWidth="1"/>
    <col min="1797" max="1797" width="13.7142857142857" style="1" customWidth="1"/>
    <col min="1798" max="1798" width="9.14285714285714" style="1" customWidth="1"/>
    <col min="1799" max="1799" width="24" style="1" customWidth="1"/>
    <col min="1800" max="2048" width="9.14285714285714" style="1"/>
    <col min="2049" max="2049" width="1.14285714285714" style="1" customWidth="1"/>
    <col min="2050" max="2050" width="3.71428571428571" style="1" customWidth="1"/>
    <col min="2051" max="2051" width="45.4285714285714" style="1" customWidth="1"/>
    <col min="2052" max="2052" width="23.7142857142857" style="1" customWidth="1"/>
    <col min="2053" max="2053" width="13.7142857142857" style="1" customWidth="1"/>
    <col min="2054" max="2054" width="9.14285714285714" style="1" customWidth="1"/>
    <col min="2055" max="2055" width="24" style="1" customWidth="1"/>
    <col min="2056" max="2304" width="9.14285714285714" style="1"/>
    <col min="2305" max="2305" width="1.14285714285714" style="1" customWidth="1"/>
    <col min="2306" max="2306" width="3.71428571428571" style="1" customWidth="1"/>
    <col min="2307" max="2307" width="45.4285714285714" style="1" customWidth="1"/>
    <col min="2308" max="2308" width="23.7142857142857" style="1" customWidth="1"/>
    <col min="2309" max="2309" width="13.7142857142857" style="1" customWidth="1"/>
    <col min="2310" max="2310" width="9.14285714285714" style="1" customWidth="1"/>
    <col min="2311" max="2311" width="24" style="1" customWidth="1"/>
    <col min="2312" max="2560" width="9.14285714285714" style="1"/>
    <col min="2561" max="2561" width="1.14285714285714" style="1" customWidth="1"/>
    <col min="2562" max="2562" width="3.71428571428571" style="1" customWidth="1"/>
    <col min="2563" max="2563" width="45.4285714285714" style="1" customWidth="1"/>
    <col min="2564" max="2564" width="23.7142857142857" style="1" customWidth="1"/>
    <col min="2565" max="2565" width="13.7142857142857" style="1" customWidth="1"/>
    <col min="2566" max="2566" width="9.14285714285714" style="1" customWidth="1"/>
    <col min="2567" max="2567" width="24" style="1" customWidth="1"/>
    <col min="2568" max="2816" width="9.14285714285714" style="1"/>
    <col min="2817" max="2817" width="1.14285714285714" style="1" customWidth="1"/>
    <col min="2818" max="2818" width="3.71428571428571" style="1" customWidth="1"/>
    <col min="2819" max="2819" width="45.4285714285714" style="1" customWidth="1"/>
    <col min="2820" max="2820" width="23.7142857142857" style="1" customWidth="1"/>
    <col min="2821" max="2821" width="13.7142857142857" style="1" customWidth="1"/>
    <col min="2822" max="2822" width="9.14285714285714" style="1" customWidth="1"/>
    <col min="2823" max="2823" width="24" style="1" customWidth="1"/>
    <col min="2824" max="3072" width="9.14285714285714" style="1"/>
    <col min="3073" max="3073" width="1.14285714285714" style="1" customWidth="1"/>
    <col min="3074" max="3074" width="3.71428571428571" style="1" customWidth="1"/>
    <col min="3075" max="3075" width="45.4285714285714" style="1" customWidth="1"/>
    <col min="3076" max="3076" width="23.7142857142857" style="1" customWidth="1"/>
    <col min="3077" max="3077" width="13.7142857142857" style="1" customWidth="1"/>
    <col min="3078" max="3078" width="9.14285714285714" style="1" customWidth="1"/>
    <col min="3079" max="3079" width="24" style="1" customWidth="1"/>
    <col min="3080" max="3328" width="9.14285714285714" style="1"/>
    <col min="3329" max="3329" width="1.14285714285714" style="1" customWidth="1"/>
    <col min="3330" max="3330" width="3.71428571428571" style="1" customWidth="1"/>
    <col min="3331" max="3331" width="45.4285714285714" style="1" customWidth="1"/>
    <col min="3332" max="3332" width="23.7142857142857" style="1" customWidth="1"/>
    <col min="3333" max="3333" width="13.7142857142857" style="1" customWidth="1"/>
    <col min="3334" max="3334" width="9.14285714285714" style="1" customWidth="1"/>
    <col min="3335" max="3335" width="24" style="1" customWidth="1"/>
    <col min="3336" max="3584" width="9.14285714285714" style="1"/>
    <col min="3585" max="3585" width="1.14285714285714" style="1" customWidth="1"/>
    <col min="3586" max="3586" width="3.71428571428571" style="1" customWidth="1"/>
    <col min="3587" max="3587" width="45.4285714285714" style="1" customWidth="1"/>
    <col min="3588" max="3588" width="23.7142857142857" style="1" customWidth="1"/>
    <col min="3589" max="3589" width="13.7142857142857" style="1" customWidth="1"/>
    <col min="3590" max="3590" width="9.14285714285714" style="1" customWidth="1"/>
    <col min="3591" max="3591" width="24" style="1" customWidth="1"/>
    <col min="3592" max="3840" width="9.14285714285714" style="1"/>
    <col min="3841" max="3841" width="1.14285714285714" style="1" customWidth="1"/>
    <col min="3842" max="3842" width="3.71428571428571" style="1" customWidth="1"/>
    <col min="3843" max="3843" width="45.4285714285714" style="1" customWidth="1"/>
    <col min="3844" max="3844" width="23.7142857142857" style="1" customWidth="1"/>
    <col min="3845" max="3845" width="13.7142857142857" style="1" customWidth="1"/>
    <col min="3846" max="3846" width="9.14285714285714" style="1" customWidth="1"/>
    <col min="3847" max="3847" width="24" style="1" customWidth="1"/>
    <col min="3848" max="4096" width="9.14285714285714" style="1"/>
    <col min="4097" max="4097" width="1.14285714285714" style="1" customWidth="1"/>
    <col min="4098" max="4098" width="3.71428571428571" style="1" customWidth="1"/>
    <col min="4099" max="4099" width="45.4285714285714" style="1" customWidth="1"/>
    <col min="4100" max="4100" width="23.7142857142857" style="1" customWidth="1"/>
    <col min="4101" max="4101" width="13.7142857142857" style="1" customWidth="1"/>
    <col min="4102" max="4102" width="9.14285714285714" style="1" customWidth="1"/>
    <col min="4103" max="4103" width="24" style="1" customWidth="1"/>
    <col min="4104" max="4352" width="9.14285714285714" style="1"/>
    <col min="4353" max="4353" width="1.14285714285714" style="1" customWidth="1"/>
    <col min="4354" max="4354" width="3.71428571428571" style="1" customWidth="1"/>
    <col min="4355" max="4355" width="45.4285714285714" style="1" customWidth="1"/>
    <col min="4356" max="4356" width="23.7142857142857" style="1" customWidth="1"/>
    <col min="4357" max="4357" width="13.7142857142857" style="1" customWidth="1"/>
    <col min="4358" max="4358" width="9.14285714285714" style="1" customWidth="1"/>
    <col min="4359" max="4359" width="24" style="1" customWidth="1"/>
    <col min="4360" max="4608" width="9.14285714285714" style="1"/>
    <col min="4609" max="4609" width="1.14285714285714" style="1" customWidth="1"/>
    <col min="4610" max="4610" width="3.71428571428571" style="1" customWidth="1"/>
    <col min="4611" max="4611" width="45.4285714285714" style="1" customWidth="1"/>
    <col min="4612" max="4612" width="23.7142857142857" style="1" customWidth="1"/>
    <col min="4613" max="4613" width="13.7142857142857" style="1" customWidth="1"/>
    <col min="4614" max="4614" width="9.14285714285714" style="1" customWidth="1"/>
    <col min="4615" max="4615" width="24" style="1" customWidth="1"/>
    <col min="4616" max="4864" width="9.14285714285714" style="1"/>
    <col min="4865" max="4865" width="1.14285714285714" style="1" customWidth="1"/>
    <col min="4866" max="4866" width="3.71428571428571" style="1" customWidth="1"/>
    <col min="4867" max="4867" width="45.4285714285714" style="1" customWidth="1"/>
    <col min="4868" max="4868" width="23.7142857142857" style="1" customWidth="1"/>
    <col min="4869" max="4869" width="13.7142857142857" style="1" customWidth="1"/>
    <col min="4870" max="4870" width="9.14285714285714" style="1" customWidth="1"/>
    <col min="4871" max="4871" width="24" style="1" customWidth="1"/>
    <col min="4872" max="5120" width="9.14285714285714" style="1"/>
    <col min="5121" max="5121" width="1.14285714285714" style="1" customWidth="1"/>
    <col min="5122" max="5122" width="3.71428571428571" style="1" customWidth="1"/>
    <col min="5123" max="5123" width="45.4285714285714" style="1" customWidth="1"/>
    <col min="5124" max="5124" width="23.7142857142857" style="1" customWidth="1"/>
    <col min="5125" max="5125" width="13.7142857142857" style="1" customWidth="1"/>
    <col min="5126" max="5126" width="9.14285714285714" style="1" customWidth="1"/>
    <col min="5127" max="5127" width="24" style="1" customWidth="1"/>
    <col min="5128" max="5376" width="9.14285714285714" style="1"/>
    <col min="5377" max="5377" width="1.14285714285714" style="1" customWidth="1"/>
    <col min="5378" max="5378" width="3.71428571428571" style="1" customWidth="1"/>
    <col min="5379" max="5379" width="45.4285714285714" style="1" customWidth="1"/>
    <col min="5380" max="5380" width="23.7142857142857" style="1" customWidth="1"/>
    <col min="5381" max="5381" width="13.7142857142857" style="1" customWidth="1"/>
    <col min="5382" max="5382" width="9.14285714285714" style="1" customWidth="1"/>
    <col min="5383" max="5383" width="24" style="1" customWidth="1"/>
    <col min="5384" max="5632" width="9.14285714285714" style="1"/>
    <col min="5633" max="5633" width="1.14285714285714" style="1" customWidth="1"/>
    <col min="5634" max="5634" width="3.71428571428571" style="1" customWidth="1"/>
    <col min="5635" max="5635" width="45.4285714285714" style="1" customWidth="1"/>
    <col min="5636" max="5636" width="23.7142857142857" style="1" customWidth="1"/>
    <col min="5637" max="5637" width="13.7142857142857" style="1" customWidth="1"/>
    <col min="5638" max="5638" width="9.14285714285714" style="1" customWidth="1"/>
    <col min="5639" max="5639" width="24" style="1" customWidth="1"/>
    <col min="5640" max="5888" width="9.14285714285714" style="1"/>
    <col min="5889" max="5889" width="1.14285714285714" style="1" customWidth="1"/>
    <col min="5890" max="5890" width="3.71428571428571" style="1" customWidth="1"/>
    <col min="5891" max="5891" width="45.4285714285714" style="1" customWidth="1"/>
    <col min="5892" max="5892" width="23.7142857142857" style="1" customWidth="1"/>
    <col min="5893" max="5893" width="13.7142857142857" style="1" customWidth="1"/>
    <col min="5894" max="5894" width="9.14285714285714" style="1" customWidth="1"/>
    <col min="5895" max="5895" width="24" style="1" customWidth="1"/>
    <col min="5896" max="6144" width="9.14285714285714" style="1"/>
    <col min="6145" max="6145" width="1.14285714285714" style="1" customWidth="1"/>
    <col min="6146" max="6146" width="3.71428571428571" style="1" customWidth="1"/>
    <col min="6147" max="6147" width="45.4285714285714" style="1" customWidth="1"/>
    <col min="6148" max="6148" width="23.7142857142857" style="1" customWidth="1"/>
    <col min="6149" max="6149" width="13.7142857142857" style="1" customWidth="1"/>
    <col min="6150" max="6150" width="9.14285714285714" style="1" customWidth="1"/>
    <col min="6151" max="6151" width="24" style="1" customWidth="1"/>
    <col min="6152" max="6400" width="9.14285714285714" style="1"/>
    <col min="6401" max="6401" width="1.14285714285714" style="1" customWidth="1"/>
    <col min="6402" max="6402" width="3.71428571428571" style="1" customWidth="1"/>
    <col min="6403" max="6403" width="45.4285714285714" style="1" customWidth="1"/>
    <col min="6404" max="6404" width="23.7142857142857" style="1" customWidth="1"/>
    <col min="6405" max="6405" width="13.7142857142857" style="1" customWidth="1"/>
    <col min="6406" max="6406" width="9.14285714285714" style="1" customWidth="1"/>
    <col min="6407" max="6407" width="24" style="1" customWidth="1"/>
    <col min="6408" max="6656" width="9.14285714285714" style="1"/>
    <col min="6657" max="6657" width="1.14285714285714" style="1" customWidth="1"/>
    <col min="6658" max="6658" width="3.71428571428571" style="1" customWidth="1"/>
    <col min="6659" max="6659" width="45.4285714285714" style="1" customWidth="1"/>
    <col min="6660" max="6660" width="23.7142857142857" style="1" customWidth="1"/>
    <col min="6661" max="6661" width="13.7142857142857" style="1" customWidth="1"/>
    <col min="6662" max="6662" width="9.14285714285714" style="1" customWidth="1"/>
    <col min="6663" max="6663" width="24" style="1" customWidth="1"/>
    <col min="6664" max="6912" width="9.14285714285714" style="1"/>
    <col min="6913" max="6913" width="1.14285714285714" style="1" customWidth="1"/>
    <col min="6914" max="6914" width="3.71428571428571" style="1" customWidth="1"/>
    <col min="6915" max="6915" width="45.4285714285714" style="1" customWidth="1"/>
    <col min="6916" max="6916" width="23.7142857142857" style="1" customWidth="1"/>
    <col min="6917" max="6917" width="13.7142857142857" style="1" customWidth="1"/>
    <col min="6918" max="6918" width="9.14285714285714" style="1" customWidth="1"/>
    <col min="6919" max="6919" width="24" style="1" customWidth="1"/>
    <col min="6920" max="7168" width="9.14285714285714" style="1"/>
    <col min="7169" max="7169" width="1.14285714285714" style="1" customWidth="1"/>
    <col min="7170" max="7170" width="3.71428571428571" style="1" customWidth="1"/>
    <col min="7171" max="7171" width="45.4285714285714" style="1" customWidth="1"/>
    <col min="7172" max="7172" width="23.7142857142857" style="1" customWidth="1"/>
    <col min="7173" max="7173" width="13.7142857142857" style="1" customWidth="1"/>
    <col min="7174" max="7174" width="9.14285714285714" style="1" customWidth="1"/>
    <col min="7175" max="7175" width="24" style="1" customWidth="1"/>
    <col min="7176" max="7424" width="9.14285714285714" style="1"/>
    <col min="7425" max="7425" width="1.14285714285714" style="1" customWidth="1"/>
    <col min="7426" max="7426" width="3.71428571428571" style="1" customWidth="1"/>
    <col min="7427" max="7427" width="45.4285714285714" style="1" customWidth="1"/>
    <col min="7428" max="7428" width="23.7142857142857" style="1" customWidth="1"/>
    <col min="7429" max="7429" width="13.7142857142857" style="1" customWidth="1"/>
    <col min="7430" max="7430" width="9.14285714285714" style="1" customWidth="1"/>
    <col min="7431" max="7431" width="24" style="1" customWidth="1"/>
    <col min="7432" max="7680" width="9.14285714285714" style="1"/>
    <col min="7681" max="7681" width="1.14285714285714" style="1" customWidth="1"/>
    <col min="7682" max="7682" width="3.71428571428571" style="1" customWidth="1"/>
    <col min="7683" max="7683" width="45.4285714285714" style="1" customWidth="1"/>
    <col min="7684" max="7684" width="23.7142857142857" style="1" customWidth="1"/>
    <col min="7685" max="7685" width="13.7142857142857" style="1" customWidth="1"/>
    <col min="7686" max="7686" width="9.14285714285714" style="1" customWidth="1"/>
    <col min="7687" max="7687" width="24" style="1" customWidth="1"/>
    <col min="7688" max="7936" width="9.14285714285714" style="1"/>
    <col min="7937" max="7937" width="1.14285714285714" style="1" customWidth="1"/>
    <col min="7938" max="7938" width="3.71428571428571" style="1" customWidth="1"/>
    <col min="7939" max="7939" width="45.4285714285714" style="1" customWidth="1"/>
    <col min="7940" max="7940" width="23.7142857142857" style="1" customWidth="1"/>
    <col min="7941" max="7941" width="13.7142857142857" style="1" customWidth="1"/>
    <col min="7942" max="7942" width="9.14285714285714" style="1" customWidth="1"/>
    <col min="7943" max="7943" width="24" style="1" customWidth="1"/>
    <col min="7944" max="8192" width="9.14285714285714" style="1"/>
    <col min="8193" max="8193" width="1.14285714285714" style="1" customWidth="1"/>
    <col min="8194" max="8194" width="3.71428571428571" style="1" customWidth="1"/>
    <col min="8195" max="8195" width="45.4285714285714" style="1" customWidth="1"/>
    <col min="8196" max="8196" width="23.7142857142857" style="1" customWidth="1"/>
    <col min="8197" max="8197" width="13.7142857142857" style="1" customWidth="1"/>
    <col min="8198" max="8198" width="9.14285714285714" style="1" customWidth="1"/>
    <col min="8199" max="8199" width="24" style="1" customWidth="1"/>
    <col min="8200" max="8448" width="9.14285714285714" style="1"/>
    <col min="8449" max="8449" width="1.14285714285714" style="1" customWidth="1"/>
    <col min="8450" max="8450" width="3.71428571428571" style="1" customWidth="1"/>
    <col min="8451" max="8451" width="45.4285714285714" style="1" customWidth="1"/>
    <col min="8452" max="8452" width="23.7142857142857" style="1" customWidth="1"/>
    <col min="8453" max="8453" width="13.7142857142857" style="1" customWidth="1"/>
    <col min="8454" max="8454" width="9.14285714285714" style="1" customWidth="1"/>
    <col min="8455" max="8455" width="24" style="1" customWidth="1"/>
    <col min="8456" max="8704" width="9.14285714285714" style="1"/>
    <col min="8705" max="8705" width="1.14285714285714" style="1" customWidth="1"/>
    <col min="8706" max="8706" width="3.71428571428571" style="1" customWidth="1"/>
    <col min="8707" max="8707" width="45.4285714285714" style="1" customWidth="1"/>
    <col min="8708" max="8708" width="23.7142857142857" style="1" customWidth="1"/>
    <col min="8709" max="8709" width="13.7142857142857" style="1" customWidth="1"/>
    <col min="8710" max="8710" width="9.14285714285714" style="1" customWidth="1"/>
    <col min="8711" max="8711" width="24" style="1" customWidth="1"/>
    <col min="8712" max="8960" width="9.14285714285714" style="1"/>
    <col min="8961" max="8961" width="1.14285714285714" style="1" customWidth="1"/>
    <col min="8962" max="8962" width="3.71428571428571" style="1" customWidth="1"/>
    <col min="8963" max="8963" width="45.4285714285714" style="1" customWidth="1"/>
    <col min="8964" max="8964" width="23.7142857142857" style="1" customWidth="1"/>
    <col min="8965" max="8965" width="13.7142857142857" style="1" customWidth="1"/>
    <col min="8966" max="8966" width="9.14285714285714" style="1" customWidth="1"/>
    <col min="8967" max="8967" width="24" style="1" customWidth="1"/>
    <col min="8968" max="9216" width="9.14285714285714" style="1"/>
    <col min="9217" max="9217" width="1.14285714285714" style="1" customWidth="1"/>
    <col min="9218" max="9218" width="3.71428571428571" style="1" customWidth="1"/>
    <col min="9219" max="9219" width="45.4285714285714" style="1" customWidth="1"/>
    <col min="9220" max="9220" width="23.7142857142857" style="1" customWidth="1"/>
    <col min="9221" max="9221" width="13.7142857142857" style="1" customWidth="1"/>
    <col min="9222" max="9222" width="9.14285714285714" style="1" customWidth="1"/>
    <col min="9223" max="9223" width="24" style="1" customWidth="1"/>
    <col min="9224" max="9472" width="9.14285714285714" style="1"/>
    <col min="9473" max="9473" width="1.14285714285714" style="1" customWidth="1"/>
    <col min="9474" max="9474" width="3.71428571428571" style="1" customWidth="1"/>
    <col min="9475" max="9475" width="45.4285714285714" style="1" customWidth="1"/>
    <col min="9476" max="9476" width="23.7142857142857" style="1" customWidth="1"/>
    <col min="9477" max="9477" width="13.7142857142857" style="1" customWidth="1"/>
    <col min="9478" max="9478" width="9.14285714285714" style="1" customWidth="1"/>
    <col min="9479" max="9479" width="24" style="1" customWidth="1"/>
    <col min="9480" max="9728" width="9.14285714285714" style="1"/>
    <col min="9729" max="9729" width="1.14285714285714" style="1" customWidth="1"/>
    <col min="9730" max="9730" width="3.71428571428571" style="1" customWidth="1"/>
    <col min="9731" max="9731" width="45.4285714285714" style="1" customWidth="1"/>
    <col min="9732" max="9732" width="23.7142857142857" style="1" customWidth="1"/>
    <col min="9733" max="9733" width="13.7142857142857" style="1" customWidth="1"/>
    <col min="9734" max="9734" width="9.14285714285714" style="1" customWidth="1"/>
    <col min="9735" max="9735" width="24" style="1" customWidth="1"/>
    <col min="9736" max="9984" width="9.14285714285714" style="1"/>
    <col min="9985" max="9985" width="1.14285714285714" style="1" customWidth="1"/>
    <col min="9986" max="9986" width="3.71428571428571" style="1" customWidth="1"/>
    <col min="9987" max="9987" width="45.4285714285714" style="1" customWidth="1"/>
    <col min="9988" max="9988" width="23.7142857142857" style="1" customWidth="1"/>
    <col min="9989" max="9989" width="13.7142857142857" style="1" customWidth="1"/>
    <col min="9990" max="9990" width="9.14285714285714" style="1" customWidth="1"/>
    <col min="9991" max="9991" width="24" style="1" customWidth="1"/>
    <col min="9992" max="10240" width="9.14285714285714" style="1"/>
    <col min="10241" max="10241" width="1.14285714285714" style="1" customWidth="1"/>
    <col min="10242" max="10242" width="3.71428571428571" style="1" customWidth="1"/>
    <col min="10243" max="10243" width="45.4285714285714" style="1" customWidth="1"/>
    <col min="10244" max="10244" width="23.7142857142857" style="1" customWidth="1"/>
    <col min="10245" max="10245" width="13.7142857142857" style="1" customWidth="1"/>
    <col min="10246" max="10246" width="9.14285714285714" style="1" customWidth="1"/>
    <col min="10247" max="10247" width="24" style="1" customWidth="1"/>
    <col min="10248" max="10496" width="9.14285714285714" style="1"/>
    <col min="10497" max="10497" width="1.14285714285714" style="1" customWidth="1"/>
    <col min="10498" max="10498" width="3.71428571428571" style="1" customWidth="1"/>
    <col min="10499" max="10499" width="45.4285714285714" style="1" customWidth="1"/>
    <col min="10500" max="10500" width="23.7142857142857" style="1" customWidth="1"/>
    <col min="10501" max="10501" width="13.7142857142857" style="1" customWidth="1"/>
    <col min="10502" max="10502" width="9.14285714285714" style="1" customWidth="1"/>
    <col min="10503" max="10503" width="24" style="1" customWidth="1"/>
    <col min="10504" max="10752" width="9.14285714285714" style="1"/>
    <col min="10753" max="10753" width="1.14285714285714" style="1" customWidth="1"/>
    <col min="10754" max="10754" width="3.71428571428571" style="1" customWidth="1"/>
    <col min="10755" max="10755" width="45.4285714285714" style="1" customWidth="1"/>
    <col min="10756" max="10756" width="23.7142857142857" style="1" customWidth="1"/>
    <col min="10757" max="10757" width="13.7142857142857" style="1" customWidth="1"/>
    <col min="10758" max="10758" width="9.14285714285714" style="1" customWidth="1"/>
    <col min="10759" max="10759" width="24" style="1" customWidth="1"/>
    <col min="10760" max="11008" width="9.14285714285714" style="1"/>
    <col min="11009" max="11009" width="1.14285714285714" style="1" customWidth="1"/>
    <col min="11010" max="11010" width="3.71428571428571" style="1" customWidth="1"/>
    <col min="11011" max="11011" width="45.4285714285714" style="1" customWidth="1"/>
    <col min="11012" max="11012" width="23.7142857142857" style="1" customWidth="1"/>
    <col min="11013" max="11013" width="13.7142857142857" style="1" customWidth="1"/>
    <col min="11014" max="11014" width="9.14285714285714" style="1" customWidth="1"/>
    <col min="11015" max="11015" width="24" style="1" customWidth="1"/>
    <col min="11016" max="11264" width="9.14285714285714" style="1"/>
    <col min="11265" max="11265" width="1.14285714285714" style="1" customWidth="1"/>
    <col min="11266" max="11266" width="3.71428571428571" style="1" customWidth="1"/>
    <col min="11267" max="11267" width="45.4285714285714" style="1" customWidth="1"/>
    <col min="11268" max="11268" width="23.7142857142857" style="1" customWidth="1"/>
    <col min="11269" max="11269" width="13.7142857142857" style="1" customWidth="1"/>
    <col min="11270" max="11270" width="9.14285714285714" style="1" customWidth="1"/>
    <col min="11271" max="11271" width="24" style="1" customWidth="1"/>
    <col min="11272" max="11520" width="9.14285714285714" style="1"/>
    <col min="11521" max="11521" width="1.14285714285714" style="1" customWidth="1"/>
    <col min="11522" max="11522" width="3.71428571428571" style="1" customWidth="1"/>
    <col min="11523" max="11523" width="45.4285714285714" style="1" customWidth="1"/>
    <col min="11524" max="11524" width="23.7142857142857" style="1" customWidth="1"/>
    <col min="11525" max="11525" width="13.7142857142857" style="1" customWidth="1"/>
    <col min="11526" max="11526" width="9.14285714285714" style="1" customWidth="1"/>
    <col min="11527" max="11527" width="24" style="1" customWidth="1"/>
    <col min="11528" max="11776" width="9.14285714285714" style="1"/>
    <col min="11777" max="11777" width="1.14285714285714" style="1" customWidth="1"/>
    <col min="11778" max="11778" width="3.71428571428571" style="1" customWidth="1"/>
    <col min="11779" max="11779" width="45.4285714285714" style="1" customWidth="1"/>
    <col min="11780" max="11780" width="23.7142857142857" style="1" customWidth="1"/>
    <col min="11781" max="11781" width="13.7142857142857" style="1" customWidth="1"/>
    <col min="11782" max="11782" width="9.14285714285714" style="1" customWidth="1"/>
    <col min="11783" max="11783" width="24" style="1" customWidth="1"/>
    <col min="11784" max="12032" width="9.14285714285714" style="1"/>
    <col min="12033" max="12033" width="1.14285714285714" style="1" customWidth="1"/>
    <col min="12034" max="12034" width="3.71428571428571" style="1" customWidth="1"/>
    <col min="12035" max="12035" width="45.4285714285714" style="1" customWidth="1"/>
    <col min="12036" max="12036" width="23.7142857142857" style="1" customWidth="1"/>
    <col min="12037" max="12037" width="13.7142857142857" style="1" customWidth="1"/>
    <col min="12038" max="12038" width="9.14285714285714" style="1" customWidth="1"/>
    <col min="12039" max="12039" width="24" style="1" customWidth="1"/>
    <col min="12040" max="12288" width="9.14285714285714" style="1"/>
    <col min="12289" max="12289" width="1.14285714285714" style="1" customWidth="1"/>
    <col min="12290" max="12290" width="3.71428571428571" style="1" customWidth="1"/>
    <col min="12291" max="12291" width="45.4285714285714" style="1" customWidth="1"/>
    <col min="12292" max="12292" width="23.7142857142857" style="1" customWidth="1"/>
    <col min="12293" max="12293" width="13.7142857142857" style="1" customWidth="1"/>
    <col min="12294" max="12294" width="9.14285714285714" style="1" customWidth="1"/>
    <col min="12295" max="12295" width="24" style="1" customWidth="1"/>
    <col min="12296" max="12544" width="9.14285714285714" style="1"/>
    <col min="12545" max="12545" width="1.14285714285714" style="1" customWidth="1"/>
    <col min="12546" max="12546" width="3.71428571428571" style="1" customWidth="1"/>
    <col min="12547" max="12547" width="45.4285714285714" style="1" customWidth="1"/>
    <col min="12548" max="12548" width="23.7142857142857" style="1" customWidth="1"/>
    <col min="12549" max="12549" width="13.7142857142857" style="1" customWidth="1"/>
    <col min="12550" max="12550" width="9.14285714285714" style="1" customWidth="1"/>
    <col min="12551" max="12551" width="24" style="1" customWidth="1"/>
    <col min="12552" max="12800" width="9.14285714285714" style="1"/>
    <col min="12801" max="12801" width="1.14285714285714" style="1" customWidth="1"/>
    <col min="12802" max="12802" width="3.71428571428571" style="1" customWidth="1"/>
    <col min="12803" max="12803" width="45.4285714285714" style="1" customWidth="1"/>
    <col min="12804" max="12804" width="23.7142857142857" style="1" customWidth="1"/>
    <col min="12805" max="12805" width="13.7142857142857" style="1" customWidth="1"/>
    <col min="12806" max="12806" width="9.14285714285714" style="1" customWidth="1"/>
    <col min="12807" max="12807" width="24" style="1" customWidth="1"/>
    <col min="12808" max="13056" width="9.14285714285714" style="1"/>
    <col min="13057" max="13057" width="1.14285714285714" style="1" customWidth="1"/>
    <col min="13058" max="13058" width="3.71428571428571" style="1" customWidth="1"/>
    <col min="13059" max="13059" width="45.4285714285714" style="1" customWidth="1"/>
    <col min="13060" max="13060" width="23.7142857142857" style="1" customWidth="1"/>
    <col min="13061" max="13061" width="13.7142857142857" style="1" customWidth="1"/>
    <col min="13062" max="13062" width="9.14285714285714" style="1" customWidth="1"/>
    <col min="13063" max="13063" width="24" style="1" customWidth="1"/>
    <col min="13064" max="13312" width="9.14285714285714" style="1"/>
    <col min="13313" max="13313" width="1.14285714285714" style="1" customWidth="1"/>
    <col min="13314" max="13314" width="3.71428571428571" style="1" customWidth="1"/>
    <col min="13315" max="13315" width="45.4285714285714" style="1" customWidth="1"/>
    <col min="13316" max="13316" width="23.7142857142857" style="1" customWidth="1"/>
    <col min="13317" max="13317" width="13.7142857142857" style="1" customWidth="1"/>
    <col min="13318" max="13318" width="9.14285714285714" style="1" customWidth="1"/>
    <col min="13319" max="13319" width="24" style="1" customWidth="1"/>
    <col min="13320" max="13568" width="9.14285714285714" style="1"/>
    <col min="13569" max="13569" width="1.14285714285714" style="1" customWidth="1"/>
    <col min="13570" max="13570" width="3.71428571428571" style="1" customWidth="1"/>
    <col min="13571" max="13571" width="45.4285714285714" style="1" customWidth="1"/>
    <col min="13572" max="13572" width="23.7142857142857" style="1" customWidth="1"/>
    <col min="13573" max="13573" width="13.7142857142857" style="1" customWidth="1"/>
    <col min="13574" max="13574" width="9.14285714285714" style="1" customWidth="1"/>
    <col min="13575" max="13575" width="24" style="1" customWidth="1"/>
    <col min="13576" max="13824" width="9.14285714285714" style="1"/>
    <col min="13825" max="13825" width="1.14285714285714" style="1" customWidth="1"/>
    <col min="13826" max="13826" width="3.71428571428571" style="1" customWidth="1"/>
    <col min="13827" max="13827" width="45.4285714285714" style="1" customWidth="1"/>
    <col min="13828" max="13828" width="23.7142857142857" style="1" customWidth="1"/>
    <col min="13829" max="13829" width="13.7142857142857" style="1" customWidth="1"/>
    <col min="13830" max="13830" width="9.14285714285714" style="1" customWidth="1"/>
    <col min="13831" max="13831" width="24" style="1" customWidth="1"/>
    <col min="13832" max="14080" width="9.14285714285714" style="1"/>
    <col min="14081" max="14081" width="1.14285714285714" style="1" customWidth="1"/>
    <col min="14082" max="14082" width="3.71428571428571" style="1" customWidth="1"/>
    <col min="14083" max="14083" width="45.4285714285714" style="1" customWidth="1"/>
    <col min="14084" max="14084" width="23.7142857142857" style="1" customWidth="1"/>
    <col min="14085" max="14085" width="13.7142857142857" style="1" customWidth="1"/>
    <col min="14086" max="14086" width="9.14285714285714" style="1" customWidth="1"/>
    <col min="14087" max="14087" width="24" style="1" customWidth="1"/>
    <col min="14088" max="14336" width="9.14285714285714" style="1"/>
    <col min="14337" max="14337" width="1.14285714285714" style="1" customWidth="1"/>
    <col min="14338" max="14338" width="3.71428571428571" style="1" customWidth="1"/>
    <col min="14339" max="14339" width="45.4285714285714" style="1" customWidth="1"/>
    <col min="14340" max="14340" width="23.7142857142857" style="1" customWidth="1"/>
    <col min="14341" max="14341" width="13.7142857142857" style="1" customWidth="1"/>
    <col min="14342" max="14342" width="9.14285714285714" style="1" customWidth="1"/>
    <col min="14343" max="14343" width="24" style="1" customWidth="1"/>
    <col min="14344" max="14592" width="9.14285714285714" style="1"/>
    <col min="14593" max="14593" width="1.14285714285714" style="1" customWidth="1"/>
    <col min="14594" max="14594" width="3.71428571428571" style="1" customWidth="1"/>
    <col min="14595" max="14595" width="45.4285714285714" style="1" customWidth="1"/>
    <col min="14596" max="14596" width="23.7142857142857" style="1" customWidth="1"/>
    <col min="14597" max="14597" width="13.7142857142857" style="1" customWidth="1"/>
    <col min="14598" max="14598" width="9.14285714285714" style="1" customWidth="1"/>
    <col min="14599" max="14599" width="24" style="1" customWidth="1"/>
    <col min="14600" max="14848" width="9.14285714285714" style="1"/>
    <col min="14849" max="14849" width="1.14285714285714" style="1" customWidth="1"/>
    <col min="14850" max="14850" width="3.71428571428571" style="1" customWidth="1"/>
    <col min="14851" max="14851" width="45.4285714285714" style="1" customWidth="1"/>
    <col min="14852" max="14852" width="23.7142857142857" style="1" customWidth="1"/>
    <col min="14853" max="14853" width="13.7142857142857" style="1" customWidth="1"/>
    <col min="14854" max="14854" width="9.14285714285714" style="1" customWidth="1"/>
    <col min="14855" max="14855" width="24" style="1" customWidth="1"/>
    <col min="14856" max="15104" width="9.14285714285714" style="1"/>
    <col min="15105" max="15105" width="1.14285714285714" style="1" customWidth="1"/>
    <col min="15106" max="15106" width="3.71428571428571" style="1" customWidth="1"/>
    <col min="15107" max="15107" width="45.4285714285714" style="1" customWidth="1"/>
    <col min="15108" max="15108" width="23.7142857142857" style="1" customWidth="1"/>
    <col min="15109" max="15109" width="13.7142857142857" style="1" customWidth="1"/>
    <col min="15110" max="15110" width="9.14285714285714" style="1" customWidth="1"/>
    <col min="15111" max="15111" width="24" style="1" customWidth="1"/>
    <col min="15112" max="15360" width="9.14285714285714" style="1"/>
    <col min="15361" max="15361" width="1.14285714285714" style="1" customWidth="1"/>
    <col min="15362" max="15362" width="3.71428571428571" style="1" customWidth="1"/>
    <col min="15363" max="15363" width="45.4285714285714" style="1" customWidth="1"/>
    <col min="15364" max="15364" width="23.7142857142857" style="1" customWidth="1"/>
    <col min="15365" max="15365" width="13.7142857142857" style="1" customWidth="1"/>
    <col min="15366" max="15366" width="9.14285714285714" style="1" customWidth="1"/>
    <col min="15367" max="15367" width="24" style="1" customWidth="1"/>
    <col min="15368" max="15616" width="9.14285714285714" style="1"/>
    <col min="15617" max="15617" width="1.14285714285714" style="1" customWidth="1"/>
    <col min="15618" max="15618" width="3.71428571428571" style="1" customWidth="1"/>
    <col min="15619" max="15619" width="45.4285714285714" style="1" customWidth="1"/>
    <col min="15620" max="15620" width="23.7142857142857" style="1" customWidth="1"/>
    <col min="15621" max="15621" width="13.7142857142857" style="1" customWidth="1"/>
    <col min="15622" max="15622" width="9.14285714285714" style="1" customWidth="1"/>
    <col min="15623" max="15623" width="24" style="1" customWidth="1"/>
    <col min="15624" max="15872" width="9.14285714285714" style="1"/>
    <col min="15873" max="15873" width="1.14285714285714" style="1" customWidth="1"/>
    <col min="15874" max="15874" width="3.71428571428571" style="1" customWidth="1"/>
    <col min="15875" max="15875" width="45.4285714285714" style="1" customWidth="1"/>
    <col min="15876" max="15876" width="23.7142857142857" style="1" customWidth="1"/>
    <col min="15877" max="15877" width="13.7142857142857" style="1" customWidth="1"/>
    <col min="15878" max="15878" width="9.14285714285714" style="1" customWidth="1"/>
    <col min="15879" max="15879" width="24" style="1" customWidth="1"/>
    <col min="15880" max="16128" width="9.14285714285714" style="1"/>
    <col min="16129" max="16129" width="1.14285714285714" style="1" customWidth="1"/>
    <col min="16130" max="16130" width="3.71428571428571" style="1" customWidth="1"/>
    <col min="16131" max="16131" width="45.4285714285714" style="1" customWidth="1"/>
    <col min="16132" max="16132" width="23.7142857142857" style="1" customWidth="1"/>
    <col min="16133" max="16133" width="13.7142857142857" style="1" customWidth="1"/>
    <col min="16134" max="16134" width="9.14285714285714" style="1" customWidth="1"/>
    <col min="16135" max="16135" width="24" style="1" customWidth="1"/>
    <col min="16136" max="16384" width="9.14285714285714" style="1"/>
  </cols>
  <sheetData>
    <row r="2" ht="20.25" spans="2:8">
      <c r="B2" s="2"/>
      <c r="C2" s="3"/>
      <c r="D2" s="4" t="s">
        <v>0</v>
      </c>
      <c r="E2" s="4"/>
      <c r="F2" s="4"/>
      <c r="G2" s="4"/>
      <c r="H2" s="5"/>
    </row>
    <row r="3" ht="18" spans="2:8">
      <c r="B3" s="2"/>
      <c r="C3" s="3"/>
      <c r="D3" s="4" t="s">
        <v>1</v>
      </c>
      <c r="E3" s="4"/>
      <c r="F3" s="4"/>
      <c r="G3" s="4"/>
      <c r="H3" s="6"/>
    </row>
    <row r="4" ht="15.75" spans="2:8">
      <c r="B4" s="2"/>
      <c r="C4" s="3"/>
      <c r="D4" s="4" t="s">
        <v>598</v>
      </c>
      <c r="E4" s="4"/>
      <c r="F4" s="4"/>
      <c r="G4" s="4"/>
      <c r="H4" s="7"/>
    </row>
    <row r="5" ht="18" spans="2:8">
      <c r="B5" s="2"/>
      <c r="C5" s="3"/>
      <c r="D5" s="8" t="str">
        <f>'Aba Carregamento'!B5</f>
        <v>Campus Porto Alegre</v>
      </c>
      <c r="E5" s="4"/>
      <c r="F5" s="4"/>
      <c r="G5" s="4"/>
      <c r="H5" s="6"/>
    </row>
    <row r="6" ht="23.25" spans="2:8">
      <c r="B6" s="2"/>
      <c r="C6" s="3"/>
      <c r="D6" s="9" t="s">
        <v>599</v>
      </c>
      <c r="E6" s="9"/>
      <c r="F6" s="9"/>
      <c r="G6" s="9"/>
      <c r="H6" s="10"/>
    </row>
    <row r="7" ht="23.25" spans="2:8">
      <c r="B7" s="2"/>
      <c r="C7" s="3"/>
      <c r="D7" s="9"/>
      <c r="E7" s="9"/>
      <c r="F7" s="9"/>
      <c r="G7" s="9"/>
      <c r="H7" s="10"/>
    </row>
    <row r="8" spans="2:8">
      <c r="B8" s="2"/>
      <c r="C8" s="2"/>
      <c r="D8" s="2"/>
      <c r="E8" s="2"/>
      <c r="F8" s="2"/>
      <c r="G8" s="2"/>
      <c r="H8" s="2"/>
    </row>
    <row r="9" ht="13.5" spans="2:8">
      <c r="B9" s="2"/>
      <c r="C9" s="2"/>
      <c r="D9" s="2"/>
      <c r="E9" s="2"/>
      <c r="F9" s="2"/>
      <c r="G9" s="2"/>
      <c r="H9" s="2"/>
    </row>
    <row r="10" ht="48" spans="2:8">
      <c r="B10" s="2"/>
      <c r="C10" s="11" t="s">
        <v>600</v>
      </c>
      <c r="D10" s="12" t="s">
        <v>601</v>
      </c>
      <c r="E10" s="13" t="s">
        <v>602</v>
      </c>
      <c r="F10" s="14"/>
      <c r="G10" s="15" t="s">
        <v>603</v>
      </c>
      <c r="H10" s="2"/>
    </row>
    <row r="11" ht="60" spans="2:8">
      <c r="B11" s="2"/>
      <c r="C11" s="16" t="s">
        <v>604</v>
      </c>
      <c r="D11" s="17">
        <f>'Qtd postos 20%'!L23</f>
        <v>11.9152330256677</v>
      </c>
      <c r="E11" s="18">
        <f>'Valor posto 20%'!I340</f>
        <v>50646.67</v>
      </c>
      <c r="F11" s="19"/>
      <c r="G11" s="20">
        <f>'Valor posto 20%'!I344</f>
        <v>1012933.4</v>
      </c>
      <c r="H11" s="2"/>
    </row>
    <row r="12" ht="60" spans="2:8">
      <c r="B12" s="2"/>
      <c r="C12" s="16" t="s">
        <v>605</v>
      </c>
      <c r="D12" s="21">
        <f>'Qtd postos 40%'!L24</f>
        <v>4.1075</v>
      </c>
      <c r="E12" s="22">
        <f>'Valor posto 40%'!I340</f>
        <v>19082.62</v>
      </c>
      <c r="F12" s="23"/>
      <c r="G12" s="24">
        <f>'Valor posto 40%'!I344</f>
        <v>381652.4</v>
      </c>
      <c r="H12" s="2"/>
    </row>
    <row r="13" ht="60" spans="2:8">
      <c r="B13" s="2"/>
      <c r="C13" s="16" t="s">
        <v>606</v>
      </c>
      <c r="D13" s="21">
        <v>1</v>
      </c>
      <c r="E13" s="22">
        <f>'Encarregado 40%'!I199</f>
        <v>3768.67433333333</v>
      </c>
      <c r="F13" s="23"/>
      <c r="G13" s="24">
        <f>'Encarregado 40%'!I203</f>
        <v>75373.49</v>
      </c>
      <c r="H13" s="2"/>
    </row>
    <row r="14" ht="39.75" customHeight="1" spans="2:8">
      <c r="B14" s="2"/>
      <c r="C14" s="25" t="s">
        <v>466</v>
      </c>
      <c r="D14" s="26">
        <f>SUM(D11:D13)</f>
        <v>17.0227330256677</v>
      </c>
      <c r="E14" s="27">
        <f>SUM(E11:F13)</f>
        <v>73497.9643333333</v>
      </c>
      <c r="F14" s="28"/>
      <c r="G14" s="29">
        <f>SUM(G11:G13)</f>
        <v>1469959.29</v>
      </c>
      <c r="H14" s="2"/>
    </row>
    <row r="15" ht="14.25" spans="2:8">
      <c r="B15" s="2"/>
      <c r="C15" s="30"/>
      <c r="D15" s="31"/>
      <c r="E15" s="32"/>
      <c r="F15" s="31"/>
      <c r="G15" s="31"/>
      <c r="H15" s="2"/>
    </row>
    <row r="16" ht="14.25" spans="2:8">
      <c r="B16" s="2"/>
      <c r="C16" s="30"/>
      <c r="D16" s="31"/>
      <c r="E16" s="32"/>
      <c r="F16" s="31"/>
      <c r="G16" s="31"/>
      <c r="H16" s="2"/>
    </row>
    <row r="17" ht="15.75" spans="2:8">
      <c r="B17" s="2"/>
      <c r="C17" s="33" t="s">
        <v>607</v>
      </c>
      <c r="D17" s="34"/>
      <c r="E17" s="34"/>
      <c r="F17" s="34"/>
      <c r="G17" s="34"/>
      <c r="H17" s="2"/>
    </row>
    <row r="18" ht="15" spans="2:8">
      <c r="B18" s="2"/>
      <c r="C18" s="35" t="s">
        <v>608</v>
      </c>
      <c r="D18" s="35"/>
      <c r="E18" s="35"/>
      <c r="F18" s="35"/>
      <c r="G18" s="35"/>
      <c r="H18" s="2"/>
    </row>
    <row r="19" ht="15" spans="2:8">
      <c r="B19" s="2"/>
      <c r="C19" s="36" t="s">
        <v>609</v>
      </c>
      <c r="D19" s="36"/>
      <c r="E19" s="36"/>
      <c r="F19" s="36"/>
      <c r="G19" s="36"/>
      <c r="H19" s="2"/>
    </row>
    <row r="20" ht="15" spans="2:8">
      <c r="B20" s="2"/>
      <c r="C20" s="36" t="s">
        <v>610</v>
      </c>
      <c r="D20" s="36"/>
      <c r="E20" s="36"/>
      <c r="F20" s="36"/>
      <c r="G20" s="36"/>
      <c r="H20" s="2"/>
    </row>
    <row r="21" ht="15" spans="2:8">
      <c r="B21" s="2"/>
      <c r="C21" s="36" t="s">
        <v>611</v>
      </c>
      <c r="D21" s="36"/>
      <c r="E21" s="36"/>
      <c r="F21" s="36"/>
      <c r="G21" s="36"/>
      <c r="H21" s="2"/>
    </row>
    <row r="22" ht="15" spans="2:8">
      <c r="B22" s="2"/>
      <c r="C22" s="36" t="s">
        <v>612</v>
      </c>
      <c r="D22" s="36"/>
      <c r="E22" s="36"/>
      <c r="F22" s="36"/>
      <c r="G22" s="36"/>
      <c r="H22" s="2"/>
    </row>
    <row r="23" ht="15" spans="2:8">
      <c r="B23" s="2"/>
      <c r="C23" s="35" t="s">
        <v>613</v>
      </c>
      <c r="D23" s="35"/>
      <c r="E23" s="35"/>
      <c r="F23" s="35"/>
      <c r="G23" s="35"/>
      <c r="H23" s="2"/>
    </row>
    <row r="24" ht="15" spans="2:8">
      <c r="B24" s="2"/>
      <c r="C24" s="34"/>
      <c r="D24" s="34"/>
      <c r="E24" s="34"/>
      <c r="F24" s="34"/>
      <c r="G24" s="34"/>
      <c r="H24" s="2"/>
    </row>
    <row r="25" ht="15.75" spans="2:8">
      <c r="B25" s="2"/>
      <c r="C25" s="37" t="s">
        <v>12</v>
      </c>
      <c r="D25" s="38">
        <f>'Aba Carregamento'!$B$15</f>
        <v>0</v>
      </c>
      <c r="E25" s="38"/>
      <c r="F25" s="38"/>
      <c r="G25" s="38"/>
      <c r="H25" s="2"/>
    </row>
    <row r="26" ht="15.75" spans="2:8">
      <c r="B26" s="2"/>
      <c r="C26" s="37" t="s">
        <v>13</v>
      </c>
      <c r="D26" s="38">
        <f>'Aba Carregamento'!$B$16</f>
        <v>0</v>
      </c>
      <c r="E26" s="38"/>
      <c r="F26" s="34"/>
      <c r="G26" s="34"/>
      <c r="H26" s="2"/>
    </row>
    <row r="27" ht="15" spans="2:8">
      <c r="B27" s="2"/>
      <c r="C27" s="34"/>
      <c r="D27" s="34"/>
      <c r="E27" s="34"/>
      <c r="F27" s="38" t="s">
        <v>614</v>
      </c>
      <c r="G27" s="38"/>
      <c r="H27" s="2"/>
    </row>
    <row r="28" ht="15" spans="2:8">
      <c r="B28" s="2"/>
      <c r="C28" s="34"/>
      <c r="D28" s="34"/>
      <c r="E28" s="34"/>
      <c r="F28" s="34"/>
      <c r="G28" s="34"/>
      <c r="H28" s="2"/>
    </row>
    <row r="29" ht="15" spans="2:8">
      <c r="B29" s="2"/>
      <c r="C29" s="34"/>
      <c r="D29" s="34"/>
      <c r="E29" s="34"/>
      <c r="F29" s="39"/>
      <c r="G29" s="39"/>
      <c r="H29" s="2"/>
    </row>
    <row r="30" ht="15" spans="2:8">
      <c r="B30" s="2"/>
      <c r="C30" s="40"/>
      <c r="D30" s="40"/>
      <c r="E30" s="40"/>
      <c r="F30" s="41"/>
      <c r="G30" s="41"/>
      <c r="H30" s="2"/>
    </row>
    <row r="31" ht="15" spans="2:8">
      <c r="B31" s="2"/>
      <c r="C31" s="2"/>
      <c r="D31" s="42"/>
      <c r="E31" s="41"/>
      <c r="F31" s="41"/>
      <c r="G31" s="41"/>
      <c r="H31" s="2"/>
    </row>
    <row r="32" ht="15" spans="2:8">
      <c r="B32" s="2"/>
      <c r="C32" s="43">
        <f>'Aba Carregamento'!B17</f>
        <v>0</v>
      </c>
      <c r="D32" s="43"/>
      <c r="E32" s="41"/>
      <c r="F32" s="41"/>
      <c r="G32" s="41"/>
      <c r="H32" s="2"/>
    </row>
    <row r="33" ht="15" spans="2:8">
      <c r="B33" s="2"/>
      <c r="C33" s="44">
        <f>'Aba Carregamento'!B18</f>
        <v>0</v>
      </c>
      <c r="D33" s="44"/>
      <c r="E33" s="45"/>
      <c r="F33" s="41"/>
      <c r="G33" s="41"/>
      <c r="H33" s="2"/>
    </row>
    <row r="34" ht="15" spans="2:8">
      <c r="B34" s="2"/>
      <c r="C34" s="44">
        <f>'Aba Carregamento'!B19</f>
        <v>0</v>
      </c>
      <c r="D34" s="44"/>
      <c r="E34" s="45"/>
      <c r="F34" s="41"/>
      <c r="G34" s="41"/>
      <c r="H34" s="2"/>
    </row>
    <row r="35" ht="15" spans="2:8">
      <c r="B35" s="2"/>
      <c r="C35" s="46"/>
      <c r="D35" s="47"/>
      <c r="E35" s="48"/>
      <c r="F35" s="41"/>
      <c r="G35" s="41"/>
      <c r="H35" s="2"/>
    </row>
    <row r="36" ht="15" spans="2:8">
      <c r="B36" s="2"/>
      <c r="C36" s="49" t="str">
        <f>'Aba Carregamento'!B13</f>
        <v>Porto Alegre/ RS</v>
      </c>
      <c r="D36" s="50">
        <f ca="1">NOW()</f>
        <v>43853.6663194444</v>
      </c>
      <c r="E36" s="51"/>
      <c r="F36" s="41"/>
      <c r="G36" s="41"/>
      <c r="H36" s="2"/>
    </row>
    <row r="37" ht="15" spans="2:8">
      <c r="B37" s="2"/>
      <c r="C37" s="46"/>
      <c r="D37" s="52"/>
      <c r="E37" s="53"/>
      <c r="F37" s="41"/>
      <c r="G37" s="41"/>
      <c r="H37" s="2"/>
    </row>
    <row r="38" spans="2:8">
      <c r="B38" s="2"/>
      <c r="C38" s="2"/>
      <c r="D38" s="2"/>
      <c r="E38" s="2"/>
      <c r="F38" s="2"/>
      <c r="G38" s="2"/>
      <c r="H38" s="2"/>
    </row>
    <row r="39" spans="2:8">
      <c r="B39" s="2"/>
      <c r="C39" s="2"/>
      <c r="D39" s="2"/>
      <c r="E39" s="2"/>
      <c r="F39" s="2"/>
      <c r="G39" s="2"/>
      <c r="H39" s="2"/>
    </row>
    <row r="40" spans="2:8">
      <c r="B40" s="2"/>
      <c r="C40" s="2"/>
      <c r="D40" s="2"/>
      <c r="E40" s="2"/>
      <c r="F40" s="2"/>
      <c r="G40" s="2"/>
      <c r="H40" s="2"/>
    </row>
    <row r="41" spans="2:8">
      <c r="B41" s="2"/>
      <c r="C41" s="2"/>
      <c r="D41" s="2"/>
      <c r="E41" s="2"/>
      <c r="F41" s="2"/>
      <c r="G41" s="2"/>
      <c r="H41" s="2"/>
    </row>
  </sheetData>
  <mergeCells count="22">
    <mergeCell ref="E10:F10"/>
    <mergeCell ref="E11:F11"/>
    <mergeCell ref="E12:F12"/>
    <mergeCell ref="E13:F13"/>
    <mergeCell ref="E14:F14"/>
    <mergeCell ref="C18:G18"/>
    <mergeCell ref="C19:G19"/>
    <mergeCell ref="C20:G20"/>
    <mergeCell ref="C21:G21"/>
    <mergeCell ref="C22:G22"/>
    <mergeCell ref="C23:G23"/>
    <mergeCell ref="D25:G25"/>
    <mergeCell ref="D26:E26"/>
    <mergeCell ref="F27:G27"/>
    <mergeCell ref="F29:G29"/>
    <mergeCell ref="C32:D32"/>
    <mergeCell ref="C33:D33"/>
    <mergeCell ref="C34:D34"/>
    <mergeCell ref="D35:E35"/>
    <mergeCell ref="D36:E36"/>
    <mergeCell ref="D37:E37"/>
    <mergeCell ref="D6:G7"/>
  </mergeCells>
  <printOptions horizontalCentered="1"/>
  <pageMargins left="0.393055555555556" right="0.393055555555556" top="0.393055555555556" bottom="0.393055555555556" header="0.313888888888889" footer="0.313888888888889"/>
  <pageSetup paperSize="9" scale="7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Aba Carregamento</vt:lpstr>
      <vt:lpstr>Insumos</vt:lpstr>
      <vt:lpstr>Qtd postos 20%</vt:lpstr>
      <vt:lpstr>Qtd postos 40%</vt:lpstr>
      <vt:lpstr>Valor posto 20%</vt:lpstr>
      <vt:lpstr>Valor posto 40%</vt:lpstr>
      <vt:lpstr>Encarregado 40%</vt:lpstr>
      <vt:lpstr>Resumo da Proposta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silmarcastro</dc:creator>
  <cp:lastModifiedBy>milena</cp:lastModifiedBy>
  <dcterms:created xsi:type="dcterms:W3CDTF">2019-05-20T13:33:00Z</dcterms:created>
  <cp:lastPrinted>2019-05-22T14:48:00Z</cp:lastPrinted>
  <dcterms:modified xsi:type="dcterms:W3CDTF">2020-01-23T18:59:35Z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1046-10.1.0.5652</vt:lpwstr>
  </property>
</Properties>
</file>